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mc:AlternateContent xmlns:mc="http://schemas.openxmlformats.org/markup-compatibility/2006">
    <mc:Choice Requires="x15">
      <x15ac:absPath xmlns:x15ac="http://schemas.microsoft.com/office/spreadsheetml/2010/11/ac" url="D:\__INTERNET_Unterlagen_Umweltbereich\__externe_Websites\nachhaltige Beschaffung\beschaffungshinweise\aufzuege\"/>
    </mc:Choice>
  </mc:AlternateContent>
  <xr:revisionPtr revIDLastSave="0" documentId="13_ncr:1_{A2DC5245-AD76-4E2B-9772-F2602CF1C6C4}" xr6:coauthVersionLast="47" xr6:coauthVersionMax="47" xr10:uidLastSave="{00000000-0000-0000-0000-000000000000}"/>
  <bookViews>
    <workbookView xWindow="2685" yWindow="2280" windowWidth="18270" windowHeight="12945" tabRatio="617" xr2:uid="{6A1F8E45-5C63-4468-8613-972B33A60A0B}"/>
  </bookViews>
  <sheets>
    <sheet name="Hinweise" sheetId="6" r:id="rId1"/>
    <sheet name="A-Angaben Planer-AG" sheetId="8" r:id="rId2"/>
    <sheet name="B-Angaben Bieter" sheetId="9" r:id="rId3"/>
    <sheet name="E-Lebenszykluskosten" sheetId="7" r:id="rId4"/>
    <sheet name="Diagramm" sheetId="10" r:id="rId5"/>
    <sheet name="Hinweise Energiekosten" sheetId="11" r:id="rId6"/>
    <sheet name="Hinweise Ersatzteile" sheetId="17" r:id="rId7"/>
    <sheet name="Hinweise Wartungskosten" sheetId="18" r:id="rId8"/>
    <sheet name="Lebenszykluskosten Vergleich" sheetId="5" r:id="rId9"/>
    <sheet name="Energieeffiziensberechnung" sheetId="2" r:id="rId10"/>
    <sheet name="Wartung" sheetId="16" r:id="rId11"/>
    <sheet name="Komponenten" sheetId="15" r:id="rId12"/>
  </sheets>
  <definedNames>
    <definedName name="_xlnm.Print_Area" localSheetId="1">'A-Angaben Planer-AG'!$A$1:$O$45</definedName>
    <definedName name="_xlnm.Print_Area" localSheetId="2">'B-Angaben Bieter'!$A$1:$O$54</definedName>
    <definedName name="_xlnm.Print_Area" localSheetId="4">Diagramm!$A$1:$K$32</definedName>
    <definedName name="_xlnm.Print_Area" localSheetId="3">'E-Lebenszykluskosten'!$A$1:$N$58</definedName>
    <definedName name="_xlnm.Print_Area" localSheetId="8">'Lebenszykluskosten Vergleich'!$A$1:$P$42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56" i="7" l="1"/>
  <c r="E27" i="5"/>
  <c r="E26" i="5"/>
  <c r="E25" i="5"/>
  <c r="E24" i="5"/>
  <c r="J32" i="16"/>
  <c r="K32" i="16" s="1"/>
  <c r="E29" i="5" s="1"/>
  <c r="E28" i="5"/>
  <c r="K31" i="16"/>
  <c r="J31" i="16"/>
  <c r="G31" i="16"/>
  <c r="I31" i="16"/>
  <c r="G34" i="16"/>
  <c r="G33" i="16"/>
  <c r="G32" i="16"/>
  <c r="G30" i="16"/>
  <c r="G29" i="16"/>
  <c r="E21" i="5"/>
  <c r="E20" i="5"/>
  <c r="E19" i="5"/>
  <c r="E11" i="5"/>
  <c r="E10" i="5"/>
  <c r="E9" i="5"/>
  <c r="E6" i="5"/>
  <c r="E19" i="2" l="1"/>
  <c r="E20" i="2" s="1"/>
  <c r="E21" i="2"/>
  <c r="O36" i="5"/>
  <c r="M36" i="5"/>
  <c r="K36" i="5"/>
  <c r="I36" i="5"/>
  <c r="G36" i="5"/>
  <c r="O34" i="5"/>
  <c r="M34" i="5"/>
  <c r="K34" i="5"/>
  <c r="I34" i="5"/>
  <c r="G34" i="5"/>
  <c r="O32" i="5"/>
  <c r="M32" i="5"/>
  <c r="K32" i="5"/>
  <c r="I32" i="5"/>
  <c r="G32" i="5"/>
  <c r="E10" i="2"/>
  <c r="E31" i="2"/>
  <c r="E9" i="2"/>
  <c r="E56" i="2" s="1"/>
  <c r="E7" i="2"/>
  <c r="E6" i="2"/>
  <c r="F52" i="2" s="1"/>
  <c r="E8" i="2"/>
  <c r="E5" i="2"/>
  <c r="E14" i="2"/>
  <c r="E30" i="2"/>
  <c r="G30" i="15"/>
  <c r="T30" i="15" s="1"/>
  <c r="X30" i="15" s="1"/>
  <c r="G28" i="16"/>
  <c r="Q28" i="16" s="1"/>
  <c r="AB11" i="10" s="1"/>
  <c r="G27" i="16"/>
  <c r="T27" i="16" s="1"/>
  <c r="AB14" i="10" s="1"/>
  <c r="G26" i="16"/>
  <c r="S26" i="16" s="1"/>
  <c r="G25" i="16"/>
  <c r="K25" i="16" s="1"/>
  <c r="G24" i="16"/>
  <c r="R24" i="16" s="1"/>
  <c r="G23" i="16"/>
  <c r="P23" i="16" s="1"/>
  <c r="S23" i="16"/>
  <c r="G22" i="16"/>
  <c r="J22" i="16" s="1"/>
  <c r="G24" i="15"/>
  <c r="X24" i="15" s="1"/>
  <c r="G23" i="15"/>
  <c r="T23" i="15" s="1"/>
  <c r="X23" i="15" s="1"/>
  <c r="G22" i="15"/>
  <c r="Q22" i="15"/>
  <c r="X22" i="15"/>
  <c r="G21" i="15"/>
  <c r="R21" i="15" s="1"/>
  <c r="X21" i="15" s="1"/>
  <c r="G18" i="15"/>
  <c r="P18" i="15"/>
  <c r="X18" i="15"/>
  <c r="G17" i="15"/>
  <c r="P17" i="15" s="1"/>
  <c r="X17" i="15" s="1"/>
  <c r="G16" i="15"/>
  <c r="P16" i="15" s="1"/>
  <c r="X16" i="15" s="1"/>
  <c r="G15" i="15"/>
  <c r="N15" i="15" s="1"/>
  <c r="T15" i="15" s="1"/>
  <c r="G14" i="15"/>
  <c r="N14" i="15" s="1"/>
  <c r="T14" i="15" s="1"/>
  <c r="X14" i="15" s="1"/>
  <c r="G13" i="15"/>
  <c r="N13" i="15" s="1"/>
  <c r="T13" i="15" s="1"/>
  <c r="G12" i="15"/>
  <c r="P12" i="15"/>
  <c r="X12" i="15"/>
  <c r="G11" i="15"/>
  <c r="J11" i="15"/>
  <c r="G10" i="15"/>
  <c r="K10" i="15" s="1"/>
  <c r="G29" i="15"/>
  <c r="Q29" i="15"/>
  <c r="X29" i="15" s="1"/>
  <c r="G28" i="15"/>
  <c r="N28" i="15" s="1"/>
  <c r="T28" i="15" s="1"/>
  <c r="X28" i="15" s="1"/>
  <c r="G27" i="15" a="1"/>
  <c r="G27" i="15" s="1"/>
  <c r="N27" i="15" s="1"/>
  <c r="I56" i="2"/>
  <c r="E52" i="2"/>
  <c r="H56" i="2"/>
  <c r="G54" i="2"/>
  <c r="E54" i="2"/>
  <c r="F51" i="2"/>
  <c r="E53" i="2"/>
  <c r="E51" i="2"/>
  <c r="H50" i="2"/>
  <c r="I54" i="2"/>
  <c r="H53" i="2"/>
  <c r="I53" i="2" l="1"/>
  <c r="I50" i="2"/>
  <c r="F56" i="2"/>
  <c r="H52" i="2"/>
  <c r="H55" i="2"/>
  <c r="G55" i="2"/>
  <c r="G51" i="2"/>
  <c r="F53" i="2"/>
  <c r="I52" i="2"/>
  <c r="G50" i="2"/>
  <c r="R67" i="2" s="1" a="1"/>
  <c r="I51" i="2"/>
  <c r="H51" i="2"/>
  <c r="T67" i="2" s="1" a="1"/>
  <c r="E50" i="2"/>
  <c r="N67" i="2" s="1" a="1"/>
  <c r="G56" i="2"/>
  <c r="H54" i="2"/>
  <c r="G53" i="2"/>
  <c r="F55" i="2"/>
  <c r="F54" i="2"/>
  <c r="E55" i="2"/>
  <c r="I55" i="2"/>
  <c r="G52" i="2"/>
  <c r="F50" i="2"/>
  <c r="P67" i="2" s="1" a="1"/>
  <c r="E11" i="2"/>
  <c r="E22" i="2"/>
  <c r="N27" i="16"/>
  <c r="AB8" i="10" s="1"/>
  <c r="V27" i="16"/>
  <c r="AB16" i="10" s="1"/>
  <c r="I22" i="16"/>
  <c r="Z23" i="15"/>
  <c r="L22" i="16"/>
  <c r="K22" i="16"/>
  <c r="O23" i="16"/>
  <c r="Q23" i="16"/>
  <c r="T24" i="16"/>
  <c r="P27" i="16"/>
  <c r="AB10" i="10" s="1"/>
  <c r="R27" i="16"/>
  <c r="AB12" i="10" s="1"/>
  <c r="P24" i="16"/>
  <c r="X13" i="15"/>
  <c r="E12" i="2"/>
  <c r="E13" i="2" s="1"/>
  <c r="I25" i="16"/>
  <c r="O28" i="16"/>
  <c r="AB9" i="10" s="1"/>
  <c r="M24" i="16"/>
  <c r="N24" i="16"/>
  <c r="Q24" i="16"/>
  <c r="L27" i="16"/>
  <c r="AB6" i="10" s="1"/>
  <c r="O24" i="16"/>
  <c r="S25" i="16"/>
  <c r="AA13" i="10" s="1"/>
  <c r="L25" i="16"/>
  <c r="X6" i="10" s="1"/>
  <c r="S24" i="16"/>
  <c r="W24" i="16"/>
  <c r="AC5" i="10"/>
  <c r="AD5" i="10"/>
  <c r="N10" i="15"/>
  <c r="W28" i="16"/>
  <c r="AB17" i="10" s="1"/>
  <c r="X15" i="15"/>
  <c r="U23" i="16"/>
  <c r="W23" i="16"/>
  <c r="L26" i="16"/>
  <c r="Q26" i="16"/>
  <c r="T26" i="16"/>
  <c r="N26" i="16"/>
  <c r="U26" i="16"/>
  <c r="J26" i="16"/>
  <c r="M26" i="16"/>
  <c r="I26" i="16"/>
  <c r="T23" i="16"/>
  <c r="O26" i="16"/>
  <c r="E25" i="2"/>
  <c r="E15" i="2"/>
  <c r="U28" i="16"/>
  <c r="AB15" i="10" s="1"/>
  <c r="S28" i="16"/>
  <c r="AB13" i="10" s="1"/>
  <c r="K28" i="16"/>
  <c r="AB5" i="10" s="1"/>
  <c r="M28" i="16"/>
  <c r="AB7" i="10" s="1"/>
  <c r="R26" i="16"/>
  <c r="P26" i="16"/>
  <c r="W26" i="16"/>
  <c r="I28" i="16"/>
  <c r="O25" i="16"/>
  <c r="L11" i="15"/>
  <c r="AC4" i="10"/>
  <c r="AD4" i="10"/>
  <c r="V23" i="16"/>
  <c r="M23" i="16"/>
  <c r="N23" i="16"/>
  <c r="R23" i="16"/>
  <c r="T25" i="16"/>
  <c r="U25" i="16"/>
  <c r="R25" i="16"/>
  <c r="N25" i="16"/>
  <c r="Q25" i="16"/>
  <c r="P25" i="16"/>
  <c r="W25" i="16"/>
  <c r="M25" i="16"/>
  <c r="AA7" i="10" s="1"/>
  <c r="V25" i="16"/>
  <c r="J25" i="16"/>
  <c r="V26" i="16"/>
  <c r="K26" i="16"/>
  <c r="AA5" i="10" s="1"/>
  <c r="V24" i="16"/>
  <c r="J27" i="16"/>
  <c r="U24" i="16"/>
  <c r="T27" i="15"/>
  <c r="T68" i="2" l="1"/>
  <c r="T72" i="2"/>
  <c r="T70" i="2"/>
  <c r="T71" i="2"/>
  <c r="T67" i="2"/>
  <c r="T69" i="2"/>
  <c r="P70" i="2"/>
  <c r="P72" i="2"/>
  <c r="P71" i="2"/>
  <c r="P67" i="2"/>
  <c r="P69" i="2"/>
  <c r="P68" i="2"/>
  <c r="R67" i="2"/>
  <c r="R68" i="2"/>
  <c r="R70" i="2"/>
  <c r="R69" i="2"/>
  <c r="R71" i="2"/>
  <c r="R72" i="2"/>
  <c r="V67" i="2" a="1"/>
  <c r="N69" i="2"/>
  <c r="N67" i="2"/>
  <c r="N70" i="2"/>
  <c r="N71" i="2"/>
  <c r="N68" i="2"/>
  <c r="N72" i="2"/>
  <c r="Y22" i="16"/>
  <c r="K11" i="16" s="1"/>
  <c r="AA9" i="10"/>
  <c r="E26" i="2"/>
  <c r="E27" i="2" s="1"/>
  <c r="Y12" i="10"/>
  <c r="X3" i="10"/>
  <c r="Z8" i="10"/>
  <c r="Z15" i="10"/>
  <c r="Y7" i="10"/>
  <c r="Y13" i="10"/>
  <c r="E16" i="2"/>
  <c r="P66" i="2" s="1"/>
  <c r="Z12" i="10"/>
  <c r="AA6" i="10"/>
  <c r="Z13" i="10"/>
  <c r="Z17" i="10"/>
  <c r="AA14" i="10"/>
  <c r="Y14" i="10"/>
  <c r="L36" i="16"/>
  <c r="AB3" i="10"/>
  <c r="Y28" i="16"/>
  <c r="X5" i="10"/>
  <c r="Z14" i="10"/>
  <c r="X4" i="10"/>
  <c r="Y25" i="16"/>
  <c r="L35" i="16"/>
  <c r="AA4" i="10"/>
  <c r="Y9" i="10"/>
  <c r="AA16" i="10"/>
  <c r="Y26" i="16"/>
  <c r="Y23" i="16"/>
  <c r="L37" i="16"/>
  <c r="Z7" i="10"/>
  <c r="Z9" i="10"/>
  <c r="Y17" i="10"/>
  <c r="AA17" i="10"/>
  <c r="Z16" i="10"/>
  <c r="AA10" i="10"/>
  <c r="Y10" i="10"/>
  <c r="Z10" i="10"/>
  <c r="Y11" i="10"/>
  <c r="AA11" i="10"/>
  <c r="Z11" i="10"/>
  <c r="AA3" i="10"/>
  <c r="Y15" i="10"/>
  <c r="Y24" i="16"/>
  <c r="K13" i="16" s="1"/>
  <c r="AA8" i="10"/>
  <c r="Y8" i="10"/>
  <c r="Q10" i="15"/>
  <c r="AB4" i="10"/>
  <c r="Y27" i="16"/>
  <c r="AA12" i="10"/>
  <c r="Y16" i="10"/>
  <c r="AA15" i="10"/>
  <c r="AD6" i="10"/>
  <c r="N11" i="15"/>
  <c r="AC8" i="10" s="1"/>
  <c r="AC6" i="10"/>
  <c r="X27" i="15"/>
  <c r="Z29" i="15" s="1"/>
  <c r="V71" i="2" l="1"/>
  <c r="V72" i="2"/>
  <c r="V68" i="2"/>
  <c r="V66" i="2" s="1"/>
  <c r="V67" i="2"/>
  <c r="V69" i="2"/>
  <c r="V70" i="2"/>
  <c r="T66" i="2"/>
  <c r="I42" i="7"/>
  <c r="E32" i="2"/>
  <c r="E33" i="2" s="1"/>
  <c r="M3" i="2" s="1"/>
  <c r="E34" i="2"/>
  <c r="R13" i="2" s="1"/>
  <c r="S13" i="2" s="1"/>
  <c r="R66" i="2"/>
  <c r="E17" i="2" s="1"/>
  <c r="N66" i="2"/>
  <c r="K12" i="16"/>
  <c r="L38" i="16"/>
  <c r="T10" i="15"/>
  <c r="AD11" i="10"/>
  <c r="AC11" i="10"/>
  <c r="I35" i="7"/>
  <c r="I41" i="7"/>
  <c r="I18" i="7"/>
  <c r="P11" i="15"/>
  <c r="AD8" i="10"/>
  <c r="R14" i="2"/>
  <c r="S14" i="2" s="1"/>
  <c r="R9" i="2"/>
  <c r="S9" i="2" s="1"/>
  <c r="R17" i="2"/>
  <c r="S17" i="2" s="1"/>
  <c r="R8" i="2"/>
  <c r="S8" i="2" s="1"/>
  <c r="R4" i="2" l="1"/>
  <c r="S4" i="2" s="1"/>
  <c r="R10" i="2"/>
  <c r="S10" i="2" s="1"/>
  <c r="R5" i="2"/>
  <c r="S5" i="2" s="1"/>
  <c r="R6" i="2"/>
  <c r="S6" i="2" s="1"/>
  <c r="S20" i="2" s="1"/>
  <c r="I11" i="7" s="1"/>
  <c r="R12" i="2"/>
  <c r="S12" i="2" s="1"/>
  <c r="R16" i="2"/>
  <c r="S16" i="2" s="1"/>
  <c r="I8" i="7"/>
  <c r="R18" i="2"/>
  <c r="S18" i="2" s="1"/>
  <c r="R7" i="2"/>
  <c r="S7" i="2" s="1"/>
  <c r="R15" i="2"/>
  <c r="S15" i="2" s="1"/>
  <c r="R11" i="2"/>
  <c r="S11" i="2" s="1"/>
  <c r="N24" i="2"/>
  <c r="I7" i="7"/>
  <c r="E15" i="5" s="1"/>
  <c r="I10" i="7"/>
  <c r="R11" i="15"/>
  <c r="AC10" i="10"/>
  <c r="AD10" i="10"/>
  <c r="W10" i="15"/>
  <c r="M6" i="2"/>
  <c r="W5" i="10" s="1"/>
  <c r="M7" i="2"/>
  <c r="W6" i="10" s="1"/>
  <c r="M17" i="2"/>
  <c r="W16" i="10" s="1"/>
  <c r="M16" i="2"/>
  <c r="W15" i="10" s="1"/>
  <c r="M12" i="2"/>
  <c r="W11" i="10" s="1"/>
  <c r="M9" i="2"/>
  <c r="W8" i="10" s="1"/>
  <c r="M4" i="2"/>
  <c r="M8" i="2"/>
  <c r="M14" i="2"/>
  <c r="W13" i="10" s="1"/>
  <c r="M10" i="2"/>
  <c r="W9" i="10" s="1"/>
  <c r="M5" i="2"/>
  <c r="W4" i="10" s="1"/>
  <c r="M11" i="2"/>
  <c r="M18" i="2"/>
  <c r="W17" i="10" s="1"/>
  <c r="M13" i="2"/>
  <c r="W12" i="10" s="1"/>
  <c r="M15" i="2"/>
  <c r="W14" i="10" l="1"/>
  <c r="W10" i="10"/>
  <c r="M20" i="2"/>
  <c r="S37" i="16"/>
  <c r="S36" i="16"/>
  <c r="V36" i="16" s="1"/>
  <c r="K19" i="16" s="1"/>
  <c r="W7" i="10"/>
  <c r="AC17" i="10"/>
  <c r="AD17" i="10"/>
  <c r="X10" i="15"/>
  <c r="S35" i="16"/>
  <c r="W3" i="10"/>
  <c r="I13" i="7"/>
  <c r="E14" i="5" s="1"/>
  <c r="AC12" i="10"/>
  <c r="AD12" i="10"/>
  <c r="T11" i="15"/>
  <c r="S38" i="16" l="1"/>
  <c r="K16" i="16"/>
  <c r="O22" i="2"/>
  <c r="I14" i="7" s="1"/>
  <c r="E16" i="5" s="1"/>
  <c r="I9" i="7"/>
  <c r="V11" i="15"/>
  <c r="AC14" i="10"/>
  <c r="AD14" i="10"/>
  <c r="V35" i="16"/>
  <c r="I19" i="7"/>
  <c r="E36" i="5" l="1"/>
  <c r="E32" i="5"/>
  <c r="E34" i="5"/>
  <c r="AC16" i="10"/>
  <c r="AD16" i="10"/>
  <c r="X11" i="15"/>
  <c r="Z18" i="15" s="1"/>
  <c r="K15" i="16"/>
  <c r="M40" i="16"/>
  <c r="L48" i="7" s="1"/>
  <c r="I37" i="7"/>
  <c r="P37" i="16" l="1"/>
  <c r="I32" i="15"/>
  <c r="I43" i="7" s="1"/>
  <c r="I34" i="15"/>
  <c r="I44" i="7" s="1"/>
  <c r="P38" i="16"/>
  <c r="K18" i="16"/>
  <c r="V38" i="16" l="1"/>
  <c r="I26" i="7"/>
  <c r="V37" i="16"/>
  <c r="I24" i="7"/>
  <c r="K17" i="16" l="1"/>
  <c r="I28" i="7"/>
  <c r="M41" i="16"/>
  <c r="L50" i="7" s="1"/>
  <c r="I30" i="7"/>
  <c r="M42" i="16"/>
  <c r="L52" i="7" s="1"/>
</calcChain>
</file>

<file path=xl/sharedStrings.xml><?xml version="1.0" encoding="utf-8"?>
<sst xmlns="http://schemas.openxmlformats.org/spreadsheetml/2006/main" count="1102" uniqueCount="650">
  <si>
    <t>Angaben Planer / AG</t>
  </si>
  <si>
    <t>Nennlast</t>
  </si>
  <si>
    <t>Einheit</t>
  </si>
  <si>
    <t>kg</t>
  </si>
  <si>
    <t>m/s</t>
  </si>
  <si>
    <t>Tage/Jahr</t>
  </si>
  <si>
    <t>Geschwindigkeit</t>
  </si>
  <si>
    <t>Förderhöhe</t>
  </si>
  <si>
    <t>Bemessungszeit</t>
  </si>
  <si>
    <t>Angaben Bieter</t>
  </si>
  <si>
    <t>Stillstandsenergiebedarf</t>
  </si>
  <si>
    <t>Motornennleistung</t>
  </si>
  <si>
    <t>W</t>
  </si>
  <si>
    <t>kW</t>
  </si>
  <si>
    <t>Energiekostenberechnung</t>
  </si>
  <si>
    <t>E</t>
  </si>
  <si>
    <t>€</t>
  </si>
  <si>
    <t>Wartung und Instandhaltung im Gewährleistungszeitraum/Jahr</t>
  </si>
  <si>
    <t>Kosten Einfachwartung/Jahr</t>
  </si>
  <si>
    <t>Kosten Vollwartung/Jahr</t>
  </si>
  <si>
    <t>Kosten für Notruf und Bereitschaft/Jahr</t>
  </si>
  <si>
    <t>Kosten für Notrufverbindung/Jahr</t>
  </si>
  <si>
    <t>€/kWh</t>
  </si>
  <si>
    <t>Summe aller Kosten bei Vollwartung ohne Energiekosten</t>
  </si>
  <si>
    <t>Summer aller Kosten bei Vollwartung inkl. Energiekosten</t>
  </si>
  <si>
    <t>Kosten für den Austausch von Verschleißkomponenten</t>
  </si>
  <si>
    <t>Allgemein</t>
  </si>
  <si>
    <t>Seilaufzug</t>
  </si>
  <si>
    <t>Maximale Fahrtenzahl der Tragmittel</t>
  </si>
  <si>
    <t>Hydraulikaufzug</t>
  </si>
  <si>
    <t>Technische Daten</t>
  </si>
  <si>
    <t>Attribut</t>
  </si>
  <si>
    <t>Wert</t>
  </si>
  <si>
    <r>
      <rPr>
        <b/>
        <sz val="10"/>
        <color indexed="8"/>
        <rFont val="Arial"/>
        <family val="2"/>
      </rPr>
      <t>P</t>
    </r>
    <r>
      <rPr>
        <sz val="10"/>
        <color indexed="8"/>
        <rFont val="Arial"/>
        <family val="2"/>
      </rPr>
      <t xml:space="preserve"> = Motorleistung P in kW</t>
    </r>
  </si>
  <si>
    <r>
      <rPr>
        <b/>
        <sz val="10"/>
        <color indexed="8"/>
        <rFont val="Arial"/>
        <family val="2"/>
      </rPr>
      <t xml:space="preserve">vNenn </t>
    </r>
    <r>
      <rPr>
        <sz val="10"/>
        <color indexed="8"/>
        <rFont val="Arial"/>
        <family val="2"/>
      </rPr>
      <t xml:space="preserve">= </t>
    </r>
    <r>
      <rPr>
        <sz val="10"/>
        <color indexed="8"/>
        <rFont val="Arial"/>
        <family val="2"/>
      </rPr>
      <t>Geschwindigkeit in m/s</t>
    </r>
  </si>
  <si>
    <r>
      <rPr>
        <b/>
        <sz val="10"/>
        <color indexed="8"/>
        <rFont val="Arial"/>
        <family val="2"/>
      </rPr>
      <t>Fö</t>
    </r>
    <r>
      <rPr>
        <sz val="10"/>
        <color indexed="8"/>
        <rFont val="Arial"/>
        <family val="2"/>
      </rPr>
      <t xml:space="preserve"> = Förderhöhe in m</t>
    </r>
  </si>
  <si>
    <r>
      <rPr>
        <b/>
        <sz val="10"/>
        <color indexed="8"/>
        <rFont val="Arial"/>
        <family val="2"/>
      </rPr>
      <t>tFö</t>
    </r>
    <r>
      <rPr>
        <sz val="10"/>
        <color indexed="8"/>
        <rFont val="Arial"/>
        <family val="2"/>
      </rPr>
      <t xml:space="preserve"> = </t>
    </r>
    <r>
      <rPr>
        <sz val="10"/>
        <color indexed="8"/>
        <rFont val="Arial"/>
        <family val="2"/>
      </rPr>
      <t>Fahrzeit  in Sekunden für FÖ</t>
    </r>
  </si>
  <si>
    <r>
      <rPr>
        <b/>
        <sz val="10"/>
        <color indexed="8"/>
        <rFont val="Arial"/>
        <family val="2"/>
      </rPr>
      <t>Q</t>
    </r>
    <r>
      <rPr>
        <sz val="10"/>
        <color indexed="8"/>
        <rFont val="Arial"/>
        <family val="2"/>
      </rPr>
      <t xml:space="preserve"> = Nennlast in kg</t>
    </r>
  </si>
  <si>
    <r>
      <rPr>
        <b/>
        <sz val="10"/>
        <color indexed="8"/>
        <rFont val="Arial"/>
        <family val="2"/>
      </rPr>
      <t>k</t>
    </r>
    <r>
      <rPr>
        <sz val="10"/>
        <color indexed="8"/>
        <rFont val="Arial"/>
        <family val="2"/>
      </rPr>
      <t xml:space="preserve"> = Lastfaktor (Festlegung nach VDI 4707) </t>
    </r>
  </si>
  <si>
    <r>
      <rPr>
        <b/>
        <sz val="10"/>
        <color indexed="8"/>
        <rFont val="Arial"/>
        <family val="2"/>
      </rPr>
      <t xml:space="preserve">EReferenzfahrt </t>
    </r>
    <r>
      <rPr>
        <sz val="10"/>
        <color indexed="8"/>
        <rFont val="Arial"/>
        <family val="2"/>
      </rPr>
      <t>= Energieverbrauch für eine Referenzfahrt in Wh</t>
    </r>
  </si>
  <si>
    <r>
      <rPr>
        <b/>
        <sz val="10"/>
        <color indexed="8"/>
        <rFont val="Arial"/>
        <family val="2"/>
      </rPr>
      <t>Espez.Fahrt</t>
    </r>
    <r>
      <rPr>
        <sz val="10"/>
        <color indexed="8"/>
        <rFont val="Arial"/>
        <family val="2"/>
      </rPr>
      <t xml:space="preserve"> = spez. Fahrtbedarf in mWh/(kg m)</t>
    </r>
  </si>
  <si>
    <t>Entspricht der Energiebedarfsklasse nach VDI 4707</t>
  </si>
  <si>
    <r>
      <rPr>
        <b/>
        <sz val="10"/>
        <color indexed="8"/>
        <rFont val="Arial"/>
        <family val="2"/>
      </rPr>
      <t xml:space="preserve">PReferenzStill </t>
    </r>
    <r>
      <rPr>
        <sz val="10"/>
        <color indexed="8"/>
        <rFont val="Arial"/>
        <family val="2"/>
      </rPr>
      <t xml:space="preserve">= Stillstandsbedarf in W  </t>
    </r>
    <r>
      <rPr>
        <b/>
        <sz val="10"/>
        <color indexed="8"/>
        <rFont val="Arial"/>
        <family val="2"/>
      </rPr>
      <t>(*)</t>
    </r>
  </si>
  <si>
    <r>
      <rPr>
        <b/>
        <sz val="10"/>
        <color indexed="8"/>
        <rFont val="Arial"/>
        <family val="2"/>
      </rPr>
      <t>E spez.Aufzug</t>
    </r>
    <r>
      <rPr>
        <sz val="10"/>
        <color indexed="8"/>
        <rFont val="Arial"/>
        <family val="2"/>
      </rPr>
      <t xml:space="preserve"> = spez. Energiebedarf des Aufzugs in mWh/(kg m)</t>
    </r>
  </si>
  <si>
    <t>15</t>
  </si>
  <si>
    <t>Entspricht einer Energieeffizienzklasse nach VDI 4707</t>
  </si>
  <si>
    <t>C</t>
  </si>
  <si>
    <t xml:space="preserve">Nutzungskategorie </t>
  </si>
  <si>
    <t>16.1</t>
  </si>
  <si>
    <t>durchschnittl. Fahrzeit, in h/d</t>
  </si>
  <si>
    <t>16.2</t>
  </si>
  <si>
    <t>durchschn. Still- standzeit, h/d</t>
  </si>
  <si>
    <t>16.3</t>
  </si>
  <si>
    <r>
      <rPr>
        <b/>
        <sz val="10"/>
        <color indexed="8"/>
        <rFont val="Arial"/>
        <family val="2"/>
      </rPr>
      <t>s</t>
    </r>
    <r>
      <rPr>
        <sz val="10"/>
        <color indexed="8"/>
        <rFont val="Arial"/>
        <family val="2"/>
      </rPr>
      <t>nenn</t>
    </r>
    <r>
      <rPr>
        <sz val="10"/>
        <color indexed="8"/>
        <rFont val="Arial"/>
        <family val="2"/>
      </rPr>
      <t xml:space="preserve"> = zurück gelegte Fahrstrecke pro Tag in </t>
    </r>
    <r>
      <rPr>
        <b/>
        <sz val="10"/>
        <color indexed="8"/>
        <rFont val="Arial"/>
        <family val="2"/>
      </rPr>
      <t>m</t>
    </r>
  </si>
  <si>
    <t xml:space="preserve">Energieberechnung  </t>
  </si>
  <si>
    <t>17.1</t>
  </si>
  <si>
    <r>
      <rPr>
        <b/>
        <sz val="10"/>
        <color indexed="8"/>
        <rFont val="Arial"/>
        <family val="2"/>
      </rPr>
      <t>E</t>
    </r>
    <r>
      <rPr>
        <sz val="10"/>
        <color indexed="8"/>
        <rFont val="Arial"/>
        <family val="2"/>
      </rPr>
      <t>Stillstand</t>
    </r>
    <r>
      <rPr>
        <sz val="10"/>
        <color indexed="8"/>
        <rFont val="Arial"/>
        <family val="2"/>
      </rPr>
      <t xml:space="preserve"> = Energieverbrauch in Ruhe in k</t>
    </r>
    <r>
      <rPr>
        <b/>
        <sz val="10"/>
        <color indexed="8"/>
        <rFont val="Arial"/>
        <family val="2"/>
      </rPr>
      <t>W</t>
    </r>
    <r>
      <rPr>
        <sz val="10"/>
        <color indexed="8"/>
        <rFont val="Arial"/>
        <family val="2"/>
      </rPr>
      <t xml:space="preserve"> pro Tag</t>
    </r>
  </si>
  <si>
    <t>17.2</t>
  </si>
  <si>
    <r>
      <rPr>
        <b/>
        <sz val="10"/>
        <color indexed="8"/>
        <rFont val="Arial"/>
        <family val="2"/>
      </rPr>
      <t>E</t>
    </r>
    <r>
      <rPr>
        <sz val="10"/>
        <color indexed="8"/>
        <rFont val="Arial"/>
        <family val="2"/>
      </rPr>
      <t>fahren</t>
    </r>
    <r>
      <rPr>
        <sz val="10"/>
        <color indexed="8"/>
        <rFont val="Arial"/>
        <family val="2"/>
      </rPr>
      <t xml:space="preserve"> = Energieverbrauch beim Fahren in k</t>
    </r>
    <r>
      <rPr>
        <b/>
        <sz val="10"/>
        <color indexed="8"/>
        <rFont val="Arial"/>
        <family val="2"/>
      </rPr>
      <t>Wh</t>
    </r>
    <r>
      <rPr>
        <sz val="10"/>
        <color indexed="8"/>
        <rFont val="Arial"/>
        <family val="2"/>
      </rPr>
      <t xml:space="preserve"> pro Tag</t>
    </r>
  </si>
  <si>
    <t>17.3</t>
  </si>
  <si>
    <r>
      <t>E</t>
    </r>
    <r>
      <rPr>
        <sz val="10"/>
        <color indexed="8"/>
        <rFont val="Arial"/>
        <family val="2"/>
      </rPr>
      <t xml:space="preserve">tag = </t>
    </r>
    <r>
      <rPr>
        <sz val="10"/>
        <color indexed="8"/>
        <rFont val="Arial"/>
        <family val="2"/>
      </rPr>
      <t xml:space="preserve">Energieverbrauch pro Tag in </t>
    </r>
    <r>
      <rPr>
        <b/>
        <sz val="10"/>
        <color indexed="8"/>
        <rFont val="Arial"/>
        <family val="2"/>
      </rPr>
      <t>kWh</t>
    </r>
    <r>
      <rPr>
        <sz val="10"/>
        <color indexed="8"/>
        <rFont val="Arial"/>
        <family val="2"/>
      </rPr>
      <t xml:space="preserve"> pro Tag</t>
    </r>
  </si>
  <si>
    <t>18</t>
  </si>
  <si>
    <t>Energiebilanz</t>
  </si>
  <si>
    <t>18.1</t>
  </si>
  <si>
    <t>Energiekosten (€ / kWh) angenommen</t>
  </si>
  <si>
    <t>18.2</t>
  </si>
  <si>
    <t>Bemessungstage</t>
  </si>
  <si>
    <t>18.3</t>
  </si>
  <si>
    <t>Energiekosten pro Tag</t>
  </si>
  <si>
    <t>18.4</t>
  </si>
  <si>
    <t xml:space="preserve">Energiekosten pro Jahr </t>
  </si>
  <si>
    <t>18.5</t>
  </si>
  <si>
    <t>Energieverbrauch pro Jahr in kWh</t>
  </si>
  <si>
    <t>Tabellen nach VDI 4707</t>
  </si>
  <si>
    <t>Tabelle 1</t>
  </si>
  <si>
    <t>Energiebedarfsklassen f. das Fahren</t>
  </si>
  <si>
    <t>Spez. Energieverbrauch in mWh / (kg m)</t>
  </si>
  <si>
    <t>≤ 0,56</t>
  </si>
  <si>
    <t>≤ 0,84</t>
  </si>
  <si>
    <t>≤ 1,26</t>
  </si>
  <si>
    <t>≤ 1,89</t>
  </si>
  <si>
    <t>≤ 2,80</t>
  </si>
  <si>
    <t>≤ 4,20</t>
  </si>
  <si>
    <t>&gt; 4,20</t>
  </si>
  <si>
    <t>Klasse</t>
  </si>
  <si>
    <t>A</t>
  </si>
  <si>
    <t>B</t>
  </si>
  <si>
    <t>D</t>
  </si>
  <si>
    <t>F</t>
  </si>
  <si>
    <t>G</t>
  </si>
  <si>
    <t>Tabelle 2</t>
  </si>
  <si>
    <t>Energiebedarfsklassen f. den Stillstand</t>
  </si>
  <si>
    <t>Leistung in W</t>
  </si>
  <si>
    <t>≤ 50</t>
  </si>
  <si>
    <t>≤ 100</t>
  </si>
  <si>
    <t>≤ 200</t>
  </si>
  <si>
    <t>≤ 400</t>
  </si>
  <si>
    <t>≤ 800</t>
  </si>
  <si>
    <t>≤ 1600</t>
  </si>
  <si>
    <t>&gt; 1600</t>
  </si>
  <si>
    <t>Tabelle 3</t>
  </si>
  <si>
    <t>Energieeffizienzklasse</t>
  </si>
  <si>
    <t>Grenzwerte für die Gesamt-Energieeffizienzklassen</t>
  </si>
  <si>
    <t>Spezifischer Energiebedarf des Aufzugs in mWh/(kg⋅m)</t>
  </si>
  <si>
    <t>Nutzungskategorie</t>
  </si>
  <si>
    <t>Tabelle4</t>
  </si>
  <si>
    <t>VDI 4707</t>
  </si>
  <si>
    <t>durchschnittl. Fahrzeit, in h</t>
  </si>
  <si>
    <t>Kostensteigerungsindex: 4 % pro Jahr</t>
  </si>
  <si>
    <t>Seil</t>
  </si>
  <si>
    <t>Hydraulisch</t>
  </si>
  <si>
    <t xml:space="preserve"> </t>
  </si>
  <si>
    <t>Kosten für den Austausch von  Verschleiß-Komponenten</t>
  </si>
  <si>
    <t>Angebot 1</t>
  </si>
  <si>
    <t>Bieter</t>
  </si>
  <si>
    <t>Firma A</t>
  </si>
  <si>
    <t>Firma B</t>
  </si>
  <si>
    <t>Firma C</t>
  </si>
  <si>
    <t>Firma D</t>
  </si>
  <si>
    <t>Firma E</t>
  </si>
  <si>
    <t>Angebot 2</t>
  </si>
  <si>
    <t>Angebot 3</t>
  </si>
  <si>
    <t>Angebot 4</t>
  </si>
  <si>
    <t>Angebot 5</t>
  </si>
  <si>
    <t>Datenabfrage zur Lebenszykluskostenberechnung für den Betrieb von Aufzugsanlagen über 15 Jahre</t>
  </si>
  <si>
    <t>Übersichtsblatt zum Angebotsvergleich inkl. Lebenszykluskosten</t>
  </si>
  <si>
    <t>Angebot 6</t>
  </si>
  <si>
    <t>Firma F</t>
  </si>
  <si>
    <t>Nutzungszeit</t>
  </si>
  <si>
    <t>Jahr der Inbetriebnahme/Vertragsbeginn</t>
  </si>
  <si>
    <t>Nutzungsdauer</t>
  </si>
  <si>
    <t>Nutzungskategorie nach VDI 4701</t>
  </si>
  <si>
    <t>Stromkosten</t>
  </si>
  <si>
    <t>Energiekosten über die gesamte Nutzungsdauer</t>
  </si>
  <si>
    <t>Instandhaltungskosten</t>
  </si>
  <si>
    <t>Jahre</t>
  </si>
  <si>
    <t>Strompreis im 1. Jahr</t>
  </si>
  <si>
    <t>kWh/Jahr</t>
  </si>
  <si>
    <t>Strombedarf pro Jahr</t>
  </si>
  <si>
    <t>1.</t>
  </si>
  <si>
    <t>2.</t>
  </si>
  <si>
    <t>3.</t>
  </si>
  <si>
    <t>Energiebedarf pro Jahr</t>
  </si>
  <si>
    <t>Hinweis:</t>
  </si>
  <si>
    <t>Jahr 1</t>
  </si>
  <si>
    <t>Jahr2</t>
  </si>
  <si>
    <t>Jahr 3</t>
  </si>
  <si>
    <t>Jahr 4</t>
  </si>
  <si>
    <t>Jahr 5</t>
  </si>
  <si>
    <t>Jahr 6</t>
  </si>
  <si>
    <t>Jahr 7</t>
  </si>
  <si>
    <t>Jahr 8</t>
  </si>
  <si>
    <t>Jahr 9</t>
  </si>
  <si>
    <t>Jahr 10</t>
  </si>
  <si>
    <t>Jahr 11</t>
  </si>
  <si>
    <t>Jahr 12</t>
  </si>
  <si>
    <t>Jahr 13</t>
  </si>
  <si>
    <t>Jahr 14</t>
  </si>
  <si>
    <t>Jahr 15</t>
  </si>
  <si>
    <t>gesamt</t>
  </si>
  <si>
    <t>Nutzunskategorie nach VDI 4707</t>
  </si>
  <si>
    <t>durchschn. Stillstandzeit, h</t>
  </si>
  <si>
    <t>Berechnung der Lebenszykluskosten über 15 Jahre</t>
  </si>
  <si>
    <t>Bereich Aufzüge</t>
  </si>
  <si>
    <t>Bilanzzeitraum des Lebenszyklus</t>
  </si>
  <si>
    <t>Personenaufzug</t>
  </si>
  <si>
    <t>Gebäude Typ</t>
  </si>
  <si>
    <t>Aufzugs Typ</t>
  </si>
  <si>
    <t>Jahr der Inbetriebnahme</t>
  </si>
  <si>
    <t>Anzahl der Haltestellen</t>
  </si>
  <si>
    <t>Jährliche Strompreissteigerung</t>
  </si>
  <si>
    <t>%</t>
  </si>
  <si>
    <t>CO² - Preis im 1. Jahr pro t CO²e</t>
  </si>
  <si>
    <t>Antriebsart: Seil oder Hydraulisch</t>
  </si>
  <si>
    <t>Energiekosten Faktor im 1. Jahr</t>
  </si>
  <si>
    <t>Verschleißteile Türen (Türkontakte/Brücken, Türführungen, Laufrollen, etc.)</t>
  </si>
  <si>
    <t>Fahrten</t>
  </si>
  <si>
    <t>CO² Kosten über Lebenszykluszeitraum</t>
  </si>
  <si>
    <t>Grundlagen und Erläuterungen zu den Seiten</t>
  </si>
  <si>
    <t>Gesamte Energiekosten inkl. CO² Kosten auf Lebenszykluszeitraum</t>
  </si>
  <si>
    <t>A1.00</t>
  </si>
  <si>
    <t>A1.01</t>
  </si>
  <si>
    <t>A1.02</t>
  </si>
  <si>
    <t>A1.03</t>
  </si>
  <si>
    <t>A2.02</t>
  </si>
  <si>
    <t>A2.01</t>
  </si>
  <si>
    <t>A2.03</t>
  </si>
  <si>
    <t>A2.04</t>
  </si>
  <si>
    <t>A2.05</t>
  </si>
  <si>
    <t>A2.06</t>
  </si>
  <si>
    <t>A2.07</t>
  </si>
  <si>
    <t>A3.01</t>
  </si>
  <si>
    <t>A3.0.1.1</t>
  </si>
  <si>
    <t>A3.02</t>
  </si>
  <si>
    <t>B1.01</t>
  </si>
  <si>
    <t>B1.02</t>
  </si>
  <si>
    <t>B2.01</t>
  </si>
  <si>
    <t>B2.02</t>
  </si>
  <si>
    <t>B2.03</t>
  </si>
  <si>
    <t>B2.04</t>
  </si>
  <si>
    <t>B2.05</t>
  </si>
  <si>
    <t>B2.06</t>
  </si>
  <si>
    <t>B2.07</t>
  </si>
  <si>
    <t>B3.01</t>
  </si>
  <si>
    <t>B3.02</t>
  </si>
  <si>
    <t>B3.03</t>
  </si>
  <si>
    <t>B3.04</t>
  </si>
  <si>
    <t>B3.05</t>
  </si>
  <si>
    <t>B3.06</t>
  </si>
  <si>
    <t>B3.07</t>
  </si>
  <si>
    <t>B4.01</t>
  </si>
  <si>
    <t>B4.02</t>
  </si>
  <si>
    <t>B4.03</t>
  </si>
  <si>
    <t>B4.04</t>
  </si>
  <si>
    <t>B5.01</t>
  </si>
  <si>
    <t>B5.02</t>
  </si>
  <si>
    <t>B5.03</t>
  </si>
  <si>
    <t>E1.01</t>
  </si>
  <si>
    <t>E1.02</t>
  </si>
  <si>
    <t>E1.03</t>
  </si>
  <si>
    <t>E2.01</t>
  </si>
  <si>
    <t>E2.02</t>
  </si>
  <si>
    <t>E3</t>
  </si>
  <si>
    <t>E3.01</t>
  </si>
  <si>
    <t>Jahr</t>
  </si>
  <si>
    <t>Hintergrunddaten zur Energie Ermittlung des Lebenszyklus für Aufzüge über 15 Jahre</t>
  </si>
  <si>
    <t>Energiekosten/ Jahr in €</t>
  </si>
  <si>
    <t>Kostensteigerungsindex</t>
  </si>
  <si>
    <t>ist</t>
  </si>
  <si>
    <t>Energiekosten kWh:</t>
  </si>
  <si>
    <t>CO² Preis (€/t)</t>
  </si>
  <si>
    <t>Emission in t</t>
  </si>
  <si>
    <t>Kosten für Ölwechsel, 2x in 15 Jahren</t>
  </si>
  <si>
    <t>Kosten für Tragmitteltausch, 1x in 15 Jahren</t>
  </si>
  <si>
    <t>Kosten für Umrichtertausch, 1x in 15 Jahren</t>
  </si>
  <si>
    <t>Kosten für den Austausch des Türantriebes, 1x in 15 Jahren</t>
  </si>
  <si>
    <t>Kosten für Austausch der USV-Batterien , 5x in 15 Jahren</t>
  </si>
  <si>
    <t>Kosten für Hydraulikschläuche, 2x in 15 Jahren</t>
  </si>
  <si>
    <t>Kosten für Reglertausch, 1x in 15 Jahren</t>
  </si>
  <si>
    <t>Kosten für Austausch der Bedientaster, Anzeigen in 15 Jahren</t>
  </si>
  <si>
    <t>Kosten für Austausch Lichtgitter 1x in 15 Jahren</t>
  </si>
  <si>
    <t>Kosten für Austausch der Puffer 1x in 15 Jahren</t>
  </si>
  <si>
    <t>B3.08</t>
  </si>
  <si>
    <t>B3.02.1</t>
  </si>
  <si>
    <t>Kosten für Austausch der LED Beleuchtung, 1x in 15 Jahren</t>
  </si>
  <si>
    <t>Kosten für Austausch der Leuchtmittel alle 2 Jahre  in 15 Jahren</t>
  </si>
  <si>
    <t>Kosten für Schachtreinigung, 2x in 15 Jahren</t>
  </si>
  <si>
    <t>Kosten für Wechsel der Fürhungseinlagen 2x in 15 Jahren</t>
  </si>
  <si>
    <t>Wartung und Instandhaltung, im Gewährleistungszeitraum/Jahr</t>
  </si>
  <si>
    <t>Kosten ZÜS - Hauptprüfung</t>
  </si>
  <si>
    <t>Kosten ZÜS - Zwischenprüfung</t>
  </si>
  <si>
    <t>Typische Preissteigerungssätze</t>
  </si>
  <si>
    <t>Wartungsmodell</t>
  </si>
  <si>
    <t>Durchschnittliche Steigerung p.a.</t>
  </si>
  <si>
    <t>Begründung</t>
  </si>
  <si>
    <t>Vollunterhalt</t>
  </si>
  <si>
    <t>Ersatzteile + Arbeitskosten</t>
  </si>
  <si>
    <t>Basiswartung</t>
  </si>
  <si>
    <t>Arbeitskosten + Inflation</t>
  </si>
  <si>
    <t>Gewährleistungswartung</t>
  </si>
  <si>
    <t>Nur Inspektion, kaum Material</t>
  </si>
  <si>
    <t>Häufig erneuerte Komponenten</t>
  </si>
  <si>
    <t>Komponente</t>
  </si>
  <si>
    <t>Grund für Austausch</t>
  </si>
  <si>
    <t>Typischer Zeitraum</t>
  </si>
  <si>
    <t>Tragseile / Gurte</t>
  </si>
  <si>
    <t>Verschleiß durch Betrieb</t>
  </si>
  <si>
    <t>10–15 Jahre</t>
  </si>
  <si>
    <t>Türantriebe &amp; -steuerungen</t>
  </si>
  <si>
    <t>Mechanische Beanspruchung</t>
  </si>
  <si>
    <t>Kabinenbeleuchtung</t>
  </si>
  <si>
    <t>Energieeffizienz (LED-Umrüstung)</t>
  </si>
  <si>
    <t>Führungsrollen / Schuhführungen</t>
  </si>
  <si>
    <t>Verschleiß</t>
  </si>
  <si>
    <t>Sicherheitsbauteile (Puffer, Fangvorrichtung)</t>
  </si>
  <si>
    <t>Normenprüfung oder Verschleiß</t>
  </si>
  <si>
    <t>Kabinen- &amp; Schachttüren</t>
  </si>
  <si>
    <t>Steuerungselektronik</t>
  </si>
  <si>
    <t>Technische Obsoleszenz</t>
  </si>
  <si>
    <t>Bedien-Tableaus (Taster, Anzeigen)</t>
  </si>
  <si>
    <t>Abnutzung / Vandalismus</t>
  </si>
  <si>
    <t>Hydrauliköl (bei Hydraulikaufzügen)</t>
  </si>
  <si>
    <t>Alterung</t>
  </si>
  <si>
    <t>Puffer (Hydraulisch oder Elastisch)</t>
  </si>
  <si>
    <t>Komponenten mit längerer Lebensdauer</t>
  </si>
  <si>
    <t>Typische Lebensdauer</t>
  </si>
  <si>
    <t>Antrieb (Maschine)</t>
  </si>
  <si>
    <t>15–25 Jahre</t>
  </si>
  <si>
    <t>Gegengewicht</t>
  </si>
  <si>
    <t>&gt; 25 Jahre</t>
  </si>
  <si>
    <t>Schienen</t>
  </si>
  <si>
    <t>Kabinenrahmen</t>
  </si>
  <si>
    <t>Besondere Einflussfaktoren</t>
  </si>
  <si>
    <r>
      <t>Fahrtenhäufigkeit:</t>
    </r>
    <r>
      <rPr>
        <sz val="11"/>
        <color theme="1"/>
        <rFont val="Calibri"/>
        <family val="2"/>
        <scheme val="minor"/>
      </rPr>
      <t xml:space="preserve"> Hohe Nutzung (z. B. Wohnblock vs. Bürohochhaus) beschleunigt Verschleiß.</t>
    </r>
  </si>
  <si>
    <r>
      <t>Wartung:</t>
    </r>
    <r>
      <rPr>
        <sz val="11"/>
        <color theme="1"/>
        <rFont val="Calibri"/>
        <family val="2"/>
        <scheme val="minor"/>
      </rPr>
      <t xml:space="preserve"> Regelmäßige Wartung kann die Lebensdauer von Seilen, Rollen und Türen verlängern.</t>
    </r>
  </si>
  <si>
    <r>
      <t>Normänderungen:</t>
    </r>
    <r>
      <rPr>
        <sz val="11"/>
        <color theme="1"/>
        <rFont val="Calibri"/>
        <family val="2"/>
        <scheme val="minor"/>
      </rPr>
      <t xml:space="preserve"> Sicherheitsnachrüstungen können unabhängig vom Verschleiß nötig werden (z. B. EN 81‑20/50).</t>
    </r>
  </si>
  <si>
    <t>Hintergrunddaten zur Ersatzteilermittlung des Lebenszyklus für Aufzüge über 15 Jahre</t>
  </si>
  <si>
    <r>
      <rPr>
        <b/>
        <sz val="11"/>
        <color indexed="30"/>
        <rFont val="Calibri"/>
        <family val="2"/>
      </rPr>
      <t>Quellen:</t>
    </r>
    <r>
      <rPr>
        <sz val="11"/>
        <color indexed="30"/>
        <rFont val="Calibri"/>
        <family val="2"/>
      </rPr>
      <t xml:space="preserve"> </t>
    </r>
    <r>
      <rPr>
        <sz val="11"/>
        <color theme="1"/>
        <rFont val="Calibri"/>
        <family val="2"/>
        <scheme val="minor"/>
      </rPr>
      <t>VDMA Wartungsrichtlinien, Marktanalysen von Wartungsunternehmen, Inflationsdaten (Destatis).</t>
    </r>
  </si>
  <si>
    <t>Berechnungsdatenblatt für Wartung, Notruf, ZÜS Prüfungen</t>
  </si>
  <si>
    <t>Gewährleistungsartung</t>
  </si>
  <si>
    <t xml:space="preserve">  8–12 Jahre</t>
  </si>
  <si>
    <t xml:space="preserve">  5–10 Jahre</t>
  </si>
  <si>
    <t xml:space="preserve">  8–15 Jahre</t>
  </si>
  <si>
    <t xml:space="preserve">    5–8 Jahre</t>
  </si>
  <si>
    <t>Hintergrunddaten zur Wartungskosten des Lebenszyklus für Aufzüge über 15 Jahre</t>
  </si>
  <si>
    <t>1. Energiekostenentwicklung (pro Jahr)</t>
  </si>
  <si>
    <t>Die Energiekosten setzen sich zusammen aus Strompreis pro kWh, jährlicher prozentualer Preissteigerung sowie CO₂-Kosten durch Emissionszertifikate.</t>
  </si>
  <si>
    <t>Strompreis (€/kWh)</t>
  </si>
  <si>
    <t>Strompreissteigerung (%)</t>
  </si>
  <si>
    <t>CO₂-Preis (€/t CO₂)</t>
  </si>
  <si>
    <t>Quellen (Beispielhaft)</t>
  </si>
  <si>
    <t>BDEW, BMWK, UBA</t>
  </si>
  <si>
    <t>BDEW, BMWK, Prognos AG</t>
  </si>
  <si>
    <t>BDEW, Prognos AG, Agora</t>
  </si>
  <si>
    <t>BDEW, BMWK, Fraunhofer</t>
  </si>
  <si>
    <t>BDEW, BMWK, Agora</t>
  </si>
  <si>
    <t>Prognos AG, BMWK, Agora</t>
  </si>
  <si>
    <t>Prognos AG, Agora, UBA</t>
  </si>
  <si>
    <t>Prognos AG, Agora, BMWK</t>
  </si>
  <si>
    <t>Prognos AG, BMWK</t>
  </si>
  <si>
    <t>Agora, Fraunhofer, UBA</t>
  </si>
  <si>
    <t>Agora, Prognos AG</t>
  </si>
  <si>
    <t>Agora, Prognos AG, BMWK</t>
  </si>
  <si>
    <t>Agora, Prognos AG, UBA</t>
  </si>
  <si>
    <t>(Hinweis: Die Preise sind Prognosen und berücksichtigen jährliche Preissteigerungen gemäß aktuellen Studien und Szenarien.)</t>
  </si>
  <si>
    <t>Erläuterung zu den Quellen:</t>
  </si>
  <si>
    <t>BDEW (Bundesverband der Energie- und Wasserwirtschaft)</t>
  </si>
  <si>
    <t>Aktuelle und historische Strompreisentwicklung.</t>
  </si>
  <si>
    <t>BMWK (Bundesministerium für Wirtschaft und Klimaschutz)</t>
  </si>
  <si>
    <t>Nationale und europäische energiepolitische Rahmenbedingungen.</t>
  </si>
  <si>
    <t>UBA (Umweltbundesamt)</t>
  </si>
  <si>
    <t>Daten zur CO₂-Preisgestaltung und Emissionsfaktoren.</t>
  </si>
  <si>
    <t>Prognos AG, Agora Energiewende und Fraunhofer-Institut</t>
  </si>
  <si>
    <t>Prognosen zur langfristigen Entwicklung der Energiekosten, Szenarioanalysen und Marktforschung.</t>
  </si>
  <si>
    <t>CO₂-Kosten-Berechnung:</t>
  </si>
  <si>
    <t>Die Kosten für CO₂ entstehen durch Emissionsfaktoren der Stromerzeugung. Ein typischer Wert für 2025 liegt etwa bei:</t>
  </si>
  <si>
    <t>Berechnung Beispiel:</t>
  </si>
  <si>
    <t>5400 kWh × 366 g/kWh = 1.976.400 g CO₂ ≈ 1,976 t CO₂</t>
  </si>
  <si>
    <r>
      <t xml:space="preserve">→ 1,976 t CO₂ × 55 €/t = </t>
    </r>
    <r>
      <rPr>
        <b/>
        <sz val="11"/>
        <color indexed="8"/>
        <rFont val="Calibri"/>
        <family val="2"/>
      </rPr>
      <t>108,68 € (für 2025)</t>
    </r>
  </si>
  <si>
    <r>
      <t>Emissionsfaktor:</t>
    </r>
    <r>
      <rPr>
        <sz val="11"/>
        <color theme="1"/>
        <rFont val="Calibri"/>
        <family val="2"/>
        <scheme val="minor"/>
      </rPr>
      <t xml:space="preserve"> ca. </t>
    </r>
    <r>
      <rPr>
        <b/>
        <sz val="11"/>
        <color indexed="8"/>
        <rFont val="Calibri"/>
        <family val="2"/>
      </rPr>
      <t>366 g CO₂/kWh</t>
    </r>
    <r>
      <rPr>
        <sz val="11"/>
        <color theme="1"/>
        <rFont val="Calibri"/>
        <family val="2"/>
        <scheme val="minor"/>
      </rPr>
      <t xml:space="preserve"> (UBA-Prognose 2025)</t>
    </r>
  </si>
  <si>
    <t>Quelle</t>
  </si>
  <si>
    <t>Webseite</t>
  </si>
  <si>
    <t>BDEW</t>
  </si>
  <si>
    <t>www.bdew.de</t>
  </si>
  <si>
    <t>BMWK</t>
  </si>
  <si>
    <t>www.bmwk.de</t>
  </si>
  <si>
    <t>Umweltbundesamt UBA</t>
  </si>
  <si>
    <t>www.umweltbundesamt.de</t>
  </si>
  <si>
    <t>Prognos AG</t>
  </si>
  <si>
    <t>www.prognos.com</t>
  </si>
  <si>
    <t>Agora Energiewende</t>
  </si>
  <si>
    <t>www.agora-energiewende.de</t>
  </si>
  <si>
    <t>Fraunhofer ISE</t>
  </si>
  <si>
    <t>www.ise.fraunhofer.de</t>
  </si>
  <si>
    <r>
      <rPr>
        <b/>
        <sz val="14"/>
        <color indexed="8"/>
        <rFont val="Calibri"/>
        <family val="2"/>
      </rPr>
      <t>Detaillierte Beispielrechnungen zur Energiekostenentwicklung über 15 Jahre, unterteilt in folgende Szenarien:</t>
    </r>
    <r>
      <rPr>
        <sz val="11"/>
        <color theme="1"/>
        <rFont val="Calibri"/>
        <family val="2"/>
        <scheme val="minor"/>
      </rPr>
      <t xml:space="preserve">
Gesamtkosten Strom pro Jahr (mit Preissteigerung)
CO₂-Kosten pro Jahr auf Basis des Emissionsfaktors
Gesamtkosten (Stromkosten + CO₂-Kosten)
Kumulierte Gesamtkosten über 15 Jahre</t>
    </r>
  </si>
  <si>
    <t>1. Gesamtkosten Strom pro Jahr (mit Preissteigerung)</t>
  </si>
  <si>
    <t>4. Kumulierte Gesamtkostenüber 15Jahre</t>
  </si>
  <si>
    <t>2. CO²-Kosten pro Jahr auf Basis des Emissionsfaktors</t>
  </si>
  <si>
    <t>Beispielrechnung:</t>
  </si>
  <si>
    <t xml:space="preserve">Jährlicher Stromverbrauch: </t>
  </si>
  <si>
    <t>5.400 kWh</t>
  </si>
  <si>
    <t>Ausgangsstrompreis 2025:</t>
  </si>
  <si>
    <t>0,35 €/kWh</t>
  </si>
  <si>
    <t>Jährliche Strompreissteigerung:</t>
  </si>
  <si>
    <t>im Schnitt 5,4%</t>
  </si>
  <si>
    <t>CO²-Preissteigerung:</t>
  </si>
  <si>
    <t>Emissionsfaktor:</t>
  </si>
  <si>
    <t>366 g CO²/kWh = 0,366 kg CO²/kWh</t>
  </si>
  <si>
    <t>Gesamt-Emissionen pro Jahr:</t>
  </si>
  <si>
    <t>5.400 x 0,366 = 1.976,4 kg = 1,976 t CO²</t>
  </si>
  <si>
    <t>Darstellung der erwarteten Energiekostenentwicklung über 15 Jahre mit Angabe von typischen Quellen, die für die Prognosen genutzt werden:</t>
  </si>
  <si>
    <t>Vollwartung</t>
  </si>
  <si>
    <t>Fixkosten</t>
  </si>
  <si>
    <t>Geringer</t>
  </si>
  <si>
    <t>Höher</t>
  </si>
  <si>
    <t>Kostensicherheit</t>
  </si>
  <si>
    <t>Niedrig – Reparaturen &amp; Prüfungen separat</t>
  </si>
  <si>
    <t>Hoch – meist alles inklusive</t>
  </si>
  <si>
    <t>Risikoversicherung</t>
  </si>
  <si>
    <t>Gering – nur Grundwartung</t>
  </si>
  <si>
    <t>Hoch – Reparaturen meist inkludiert</t>
  </si>
  <si>
    <t>Budgetplanung</t>
  </si>
  <si>
    <t>Flexibler</t>
  </si>
  <si>
    <t>Planbarer</t>
  </si>
  <si>
    <t>Gesamtkosten</t>
  </si>
  <si>
    <t>Günstiger</t>
  </si>
  <si>
    <t>Deutlich höher</t>
  </si>
  <si>
    <t>Kriterium</t>
  </si>
  <si>
    <t>Neuere, wenig genutzte Anlagen</t>
  </si>
  <si>
    <t>Ältere, stärker genutzte Anlagen oder Betreiber mit wenig Zeit</t>
  </si>
  <si>
    <t>Empfohlen für...</t>
  </si>
  <si>
    <t>Aussage</t>
  </si>
  <si>
    <t>VDMA 24186-4</t>
  </si>
  <si>
    <t>Regelt Mindestinhalte von Basis- und Vollwartungsverträgen</t>
  </si>
  <si>
    <t>DIN EN 13015</t>
  </si>
  <si>
    <t>Wartungsvorgaben für Aufzüge europaweit</t>
  </si>
  <si>
    <t>Kostenrahmen 800–1.500 € (Basis) / 1.800–2.800 € (Voll) pro Jahr</t>
  </si>
  <si>
    <t>FM-Studien (z. B. Lünendonk, CBRE)</t>
  </si>
  <si>
    <t>Durchschnittswerte in Wohn- &amp; Gewerbeobjekten</t>
  </si>
  <si>
    <t>BetrSichV (Anlage 2)</t>
  </si>
  <si>
    <t>Betreiberpflichten zur Wartung &amp; Prüfung</t>
  </si>
  <si>
    <t>Herstellerangaben (TKE, Schindler, OTIS, KONE)</t>
  </si>
  <si>
    <t>Unterschiede zu beiden Varianten</t>
  </si>
  <si>
    <t>Einflussfaktoren auf Wartungskosten</t>
  </si>
  <si>
    <t>Faktor</t>
  </si>
  <si>
    <t>Beschreibung</t>
  </si>
  <si>
    <t>Vertragstyp</t>
  </si>
  <si>
    <t>Vollwartung (höher, aber planbar) vs. Teilwartung (günstiger, aber höheres Reparaturrisiko)</t>
  </si>
  <si>
    <t>Herstellerbindung</t>
  </si>
  <si>
    <t>Wartung durch Hersteller meist teurer als durch unabhängige Anbieter</t>
  </si>
  <si>
    <t>Modernisierungsgrad</t>
  </si>
  <si>
    <t>Neue Aufzüge = geringere Wartungskosten, alte Anlagen = höherer Aufwand</t>
  </si>
  <si>
    <t>Nutzungshäufigkeit</t>
  </si>
  <si>
    <t>Aufzüge mit hoher Frequentierung (z. B. in Wohnblocks) = höherer Verschleiß</t>
  </si>
  <si>
    <t>Gesetzliche Prüfungen</t>
  </si>
  <si>
    <t>TÜV / ZÜS-Prüfungen alle 1–2 Jahre nach BetrSichV</t>
  </si>
  <si>
    <t>Quellen (offizielle &amp; Brancheninformationen)</t>
  </si>
  <si>
    <t>Inhalt / Relevanz</t>
  </si>
  <si>
    <t>Link</t>
  </si>
  <si>
    <t>Statistisches Bundesamt (Destatis)</t>
  </si>
  <si>
    <t>Baukosten- und Handwerksindex</t>
  </si>
  <si>
    <t>TÜV Süd / Dekra / GTÜ</t>
  </si>
  <si>
    <t>Informationen zur Prüfungspflicht nach BetrSichV</t>
  </si>
  <si>
    <t>Herstellerangaben zu Wartungsverträgen</t>
  </si>
  <si>
    <t>VDMA – Fachverband Aufzüge + Fahrtreppen</t>
  </si>
  <si>
    <t>Technische Normung und Wartungsrichtlinien</t>
  </si>
  <si>
    <t>ZVEI (Zentralverband Elektrotechnikindustrie)</t>
  </si>
  <si>
    <t>Angaben zur Aufzugstechnik und Trends</t>
  </si>
  <si>
    <t>FM-Marktstudien (z. B. Lünendonk, CBRE)</t>
  </si>
  <si>
    <t>Facility-Management-Kostenübersichten</t>
  </si>
  <si>
    <t>KONE, OTIS, Schindler, TKE</t>
  </si>
  <si>
    <t>Was ist Gewährleistungswartung?</t>
  </si>
  <si>
    <t>Merkmal</t>
  </si>
  <si>
    <t>Dauer</t>
  </si>
  <si>
    <t>i. d. R. 2 Jahre (teilweise bis zu 5 Jahre bei Sonderverträgen)</t>
  </si>
  <si>
    <t>Kosten</t>
  </si>
  <si>
    <t>In der Regel im Kaufpreis des Aufzugs enthalten</t>
  </si>
  <si>
    <t>Leistungsumfang</t>
  </si>
  <si>
    <t>Eingeschränkte Wartung gemäß Herstellervorgaben, keine Verschleißteile oder Schäden durch Fremdeinwirkung</t>
  </si>
  <si>
    <t>Pflicht?</t>
  </si>
  <si>
    <t>In der Praxis oft verpflichtend für die ersten Jahre (Herstellerbindung)</t>
  </si>
  <si>
    <t>Vertragsbindung</t>
  </si>
  <si>
    <t>Anbindung an den Errichter (Hersteller oder Generalunternehmer)</t>
  </si>
  <si>
    <t>Quellen (bezogen auf Gewährleistung &amp; Wartung)</t>
  </si>
  <si>
    <t>VDMA Merkblatt 24186</t>
  </si>
  <si>
    <t>Richtlinien für Wartungsinhalte (inkl. Gewährleistungsphasen)</t>
  </si>
  <si>
    <t>Norm für Wartungsanforderungen bei Aufzügen</t>
  </si>
  <si>
    <t>Betriebssicherheitsverordnung (BetrSichV)</t>
  </si>
  <si>
    <t>Regelungen zu Prüfungen und Pflichten</t>
  </si>
  <si>
    <t>gesetze-im-internet.de</t>
  </si>
  <si>
    <t>Vertragsmodelle und Gewährleistungsbedingungen</t>
  </si>
  <si>
    <t>Anforderungen an Prüfintervalle und Betreiberpflichten</t>
  </si>
  <si>
    <t>Herstellerseiten (KONE, OTIS, TKE, Schindler)</t>
  </si>
  <si>
    <t>Kosten Hauptprüfung (in Vollwartung inkl.)</t>
  </si>
  <si>
    <t>Kosten Zwischenprüfung (in Vollwartung inkl.)</t>
  </si>
  <si>
    <t>jährlich +2,2%</t>
  </si>
  <si>
    <t>Kostensteigerungsindex: 3,0% Vollwartung pro Jahr</t>
  </si>
  <si>
    <t>Kostensteigerungsindex: 1,5 % Gewährleistungswartung pro Jahr</t>
  </si>
  <si>
    <t>Kostensteigerungsindex: 2,5% Hauptprüfung ZÜS pro Jahr</t>
  </si>
  <si>
    <t>Kostensteigerungsindex: 2,5% Zwischenprüfung ZÜS pro Jahr</t>
  </si>
  <si>
    <t>Kostensteigerungsindex: 4,0% Notrufkosten pro Jahr</t>
  </si>
  <si>
    <t>Kostensteigerungsindex: 2,5% Einfachwartung pro Jahr</t>
  </si>
  <si>
    <t>3. Gesamtkosten (Stromkosten + CO²-Kosten)</t>
  </si>
  <si>
    <t>Summe der laufenden Kosten bei Gewährleistung 4 Jahre (ohne Energie)</t>
  </si>
  <si>
    <t>Summe der laufenden Kosten bei Gewährleistung 4 Jahre inkl. Energie</t>
  </si>
  <si>
    <t>Summe aller Kosten bei Vollwartung , Notruf inkl. Energie</t>
  </si>
  <si>
    <t>Summe der laufenden Kosten bei Vollwartung, Notruf (ohne Energie)</t>
  </si>
  <si>
    <t>Summe der laufenden Kosten bei Einfachwartung, Notruf, ZÜS (ohne Energie und Material)</t>
  </si>
  <si>
    <t>Summe der laufenden Kosten bei Einfachwartung, Notruf, ZÜS inkl. Energie</t>
  </si>
  <si>
    <t>2025 - 2039</t>
  </si>
  <si>
    <t>1. Jahr</t>
  </si>
  <si>
    <t>3. Jahr</t>
  </si>
  <si>
    <t>2. Jahr</t>
  </si>
  <si>
    <t>4. Jahr</t>
  </si>
  <si>
    <t>5. Jahr</t>
  </si>
  <si>
    <t>6. Jahr</t>
  </si>
  <si>
    <t>7. Jahr</t>
  </si>
  <si>
    <t>8. Jahr</t>
  </si>
  <si>
    <t>9. Jahr</t>
  </si>
  <si>
    <t>10. Jahr</t>
  </si>
  <si>
    <t>11. Jahr</t>
  </si>
  <si>
    <t>12. Jahr</t>
  </si>
  <si>
    <t>13. Jahr</t>
  </si>
  <si>
    <t>14. Jahr</t>
  </si>
  <si>
    <t>15. Jahr</t>
  </si>
  <si>
    <t>Emissionsfaktor (g/kWh)</t>
  </si>
  <si>
    <t>Energiekosten Gesamt:</t>
  </si>
  <si>
    <t>CO² Kosten Gesamt:</t>
  </si>
  <si>
    <t>Energiekosten/1. Jahr</t>
  </si>
  <si>
    <t>Energiekosten über 15 Jahre mit einer 5% Steigerung</t>
  </si>
  <si>
    <t>Summe der laufenden Kosten Austausch der Verschleiß-Komponenten - Seilaufzug</t>
  </si>
  <si>
    <t>Summe der laufenden Kosten Austausch der Verschleiß-Komponenten - Hydraulikaufzug</t>
  </si>
  <si>
    <t>Summe der laufenden Kosten bei Einfachwartung, Notruf, ZÜS , Material Seilaufzug inkl. Energie</t>
  </si>
  <si>
    <t>Summe der laufenden Kosten bei Einfachwartung, Notruf, ZÜS , Material Hydraulikaufzug inkl. Energie</t>
  </si>
  <si>
    <t>Gesamte Energiekosten / CO² Kosten:</t>
  </si>
  <si>
    <t>1 - 5</t>
  </si>
  <si>
    <t xml:space="preserve">m </t>
  </si>
  <si>
    <t>Etagen</t>
  </si>
  <si>
    <t>Energieverbrauch kWh pro Jahr</t>
  </si>
  <si>
    <t>kWh</t>
  </si>
  <si>
    <t>CO² /€  pro 1. Jahr</t>
  </si>
  <si>
    <t>Berechnung der Kosten für Vollwartung, Notruf, Prüfungen und Instandhaltung</t>
  </si>
  <si>
    <t>4.</t>
  </si>
  <si>
    <t>Berechnung der Kosten für Gewährleistungszeitraum (4 Jahre)</t>
  </si>
  <si>
    <t>Summe aller Kosten bei Gewährleistung, Notruf, ZÜS Abnahmen (ohne Energiekosten)</t>
  </si>
  <si>
    <t>Summe aller Kosten bei Gewährleistung, Notruf, ZÜS Abnahmen inkl. Energiekosten</t>
  </si>
  <si>
    <t>5.</t>
  </si>
  <si>
    <t>Summe aller Kosten für Notruf</t>
  </si>
  <si>
    <t>Summe aller Kosten ZÜS-Prüfungen</t>
  </si>
  <si>
    <t>Berechnung der Kosten für Notruf / ZÜS-Prüfungen / Verschleißteile</t>
  </si>
  <si>
    <t>Summe aller Kosten Verschleißteile Seilaufzug</t>
  </si>
  <si>
    <t>Summe aller Kosten Verschleißteile Hydraulikaufzug</t>
  </si>
  <si>
    <t>6.</t>
  </si>
  <si>
    <t>Berechnung der Gesamtkosten für Gewährleistung, Vollwartung, Notruf und Energie</t>
  </si>
  <si>
    <t>Berechnung der Gesamtkosten für GW, Vollwartung, Notruf und Energie</t>
  </si>
  <si>
    <t>CO² Kosten pro Jahr in €</t>
  </si>
  <si>
    <t>GW für 4 Jahre, Notruf, ZÜS</t>
  </si>
  <si>
    <t>EW ab 5. Jahr, Notruf, ZÜS</t>
  </si>
  <si>
    <t>VW ab. 5. Jahr, Notruf</t>
  </si>
  <si>
    <t>zzgl. Energie</t>
  </si>
  <si>
    <t>zzgl. Teile, Seilaufzug</t>
  </si>
  <si>
    <t>Gesamt</t>
  </si>
  <si>
    <t>zzgl. Teile, Hydraulik</t>
  </si>
  <si>
    <t>GW, VW, Energie 15 Jahre</t>
  </si>
  <si>
    <t>GW, EW (Seiler), Notruf, ZÜS, Energie 15 J.</t>
  </si>
  <si>
    <t>GW, EW (Hydraulik), Notruf, ZÜS, Energie 15 J.</t>
  </si>
  <si>
    <t>Berechnungsdatenblatt für Verschleiß- und Komponenten auf 15 Jahre</t>
  </si>
  <si>
    <t>Gesamte Energiekosten inkl. CO² Kosten 1. Jahr</t>
  </si>
  <si>
    <t>Das Ergebnis sind die Lebenszykluskosten eines zu beschaffenden Aufzuges über die angegebene Nutzungsdauer (Lebensdauer).</t>
  </si>
  <si>
    <t>Instandhaltungskosten bei GW &amp; VW über die gesamte Nutzungsdauer</t>
  </si>
  <si>
    <t>E4.01</t>
  </si>
  <si>
    <t>E4.02</t>
  </si>
  <si>
    <t>E4.03</t>
  </si>
  <si>
    <t>E4.04</t>
  </si>
  <si>
    <t>E4.05</t>
  </si>
  <si>
    <t>E4.06</t>
  </si>
  <si>
    <t>E4.07</t>
  </si>
  <si>
    <t>E4.08</t>
  </si>
  <si>
    <t>E4.09</t>
  </si>
  <si>
    <t>E4.10</t>
  </si>
  <si>
    <t>E4.11</t>
  </si>
  <si>
    <t>E4.12</t>
  </si>
  <si>
    <t>E4.13</t>
  </si>
  <si>
    <t>E4.14</t>
  </si>
  <si>
    <t>Instandhaltungskosten bei GW &amp; EW über die gesamte Nutzungsdauer (Hydraulik)</t>
  </si>
  <si>
    <t>Instandhaltungskosten bei GW &amp; EW über die gesamte Nutzungsdauer (Seil)</t>
  </si>
  <si>
    <t>Summe aller Kosten bei Einfachwartung inkl. Austausch der Verschleißkomponenten (Seilaufzug) ohne Energiekosten</t>
  </si>
  <si>
    <t>Summe aller Kosten bei Einfachwartung inkl. Austausch der Verschleißkomponenten (Hydraulikaufzug) ohne Energiekosten</t>
  </si>
  <si>
    <t>E4.15</t>
  </si>
  <si>
    <t>Summe aller Kosten bei Einfachwartung inkl. Austausch der Verschleißkomponenten (Seilaufzug) inkl. Energiekosten</t>
  </si>
  <si>
    <t>Summe aller Kosten bei Einfachwartung inkl. Austausch der Verschleißkomponenten (Hydraulikaufzug) inkl. Energiekosten</t>
  </si>
  <si>
    <t>Lebenszykluskosten Angebotspreis, GW, VW, Notruf &amp; Energie gesamt</t>
  </si>
  <si>
    <t>Lebenszykluskosten Angebotspreis, GW, EW, ZÜS, Komponenten Seilaufzug Notruf &amp; Energie gesamt</t>
  </si>
  <si>
    <t>A-Angaben Planer-AG</t>
  </si>
  <si>
    <t>B-Angaben Bieter</t>
  </si>
  <si>
    <t>Diagramm</t>
  </si>
  <si>
    <t>Eine Grafische Darstellung der verschiedenen Preisentwicklungen über den 15 jährigen Zeitraum.</t>
  </si>
  <si>
    <t>Hinweise Energiekosten, Ersatzteile, Wartungskosten</t>
  </si>
  <si>
    <t>Energieeffiziensberechnung, Wartung und Komponenten</t>
  </si>
  <si>
    <t>Stand:</t>
  </si>
  <si>
    <t>Dort sind alle die zu den Berechnungen geführten Werten erläutert und mit Verweisen der Herkunft ausgewiesen.</t>
  </si>
  <si>
    <t>Das sind die Berechnungstools für alle Varianten, welche nicht verändert werden dürfen.</t>
  </si>
  <si>
    <t>Auf dieser Seite kommen alle berechneten Positionen zusammen, wo einzelne Vergleiche zufinden sind für unterschiedliche Ausführungen. Die Gewährleistung ist bei allen Modellen auf 4 Jahre festgelegt worden.</t>
  </si>
  <si>
    <t xml:space="preserve">Druck bzw. pdf Erstellung. </t>
  </si>
  <si>
    <t>Es werden alle erforderlichen Reiter markiert und die Datei kann dementsprechend in DIN A4 Querformat ausgedruckt oder als pdf erstellt werden. Der Angebotsvergleich sollte als DIN A3 separat gedruckt werden. Die Berechnungstools sollten nicht mitgedruckt werden da diese nicht Formatiert sind. Dieses Tool lässt sich mit allen exel Versionen bearbeiten.</t>
  </si>
  <si>
    <t xml:space="preserve">Jahr </t>
  </si>
  <si>
    <t>Notruf</t>
  </si>
  <si>
    <t>ZÜS</t>
  </si>
  <si>
    <t>Energie</t>
  </si>
  <si>
    <t>GW</t>
  </si>
  <si>
    <t>VW</t>
  </si>
  <si>
    <t>EW</t>
  </si>
  <si>
    <t>Komp. Seil</t>
  </si>
  <si>
    <t>Komp. Hyd.</t>
  </si>
  <si>
    <t>Häufig verwendete Quellen und deren offizielle Internetseiten:</t>
  </si>
  <si>
    <t>www.destatis.de</t>
  </si>
  <si>
    <t>www.vdma.org</t>
  </si>
  <si>
    <t>www.zvei.org</t>
  </si>
  <si>
    <t>www.luenendonk.de</t>
  </si>
  <si>
    <t>www.din.de</t>
  </si>
  <si>
    <t>Herstellerinternetseiten</t>
  </si>
  <si>
    <t>TÜV/Dekra/GTÜ</t>
  </si>
  <si>
    <t>Hier müssen in den grauen Feldern die Werte der Angebotenen Firmen eingetragen werden. In der Spalte A findet man die Verweise von wo die Daten entnommen werden müssen. Die weißen Felder ergeben dann die jeweiligen Endsummen. Somit kann ein Vergleich zu allen Bietern ermittelt werden.</t>
  </si>
  <si>
    <t>Bürogebäude</t>
  </si>
  <si>
    <t>Kosten für Austausch der USV-Batterien</t>
  </si>
  <si>
    <t xml:space="preserve">Kosten für Austausch der Leuchtmittel </t>
  </si>
  <si>
    <t>Kosten für Austausch der LED Beleuchtung</t>
  </si>
  <si>
    <t>Kosten für Schachtreinigung</t>
  </si>
  <si>
    <t>Kosten für Wechsel der Fürhungseinlagen</t>
  </si>
  <si>
    <t>Kosten für Austausch der Bedientaster, Anzeigen</t>
  </si>
  <si>
    <t>Kosten für Austausch Lichtgitter</t>
  </si>
  <si>
    <t>Kosten für Austausch der Puffer</t>
  </si>
  <si>
    <t>Kosten für Tragmitteltausch</t>
  </si>
  <si>
    <t>Kosten für Umrichtertausch</t>
  </si>
  <si>
    <t>Kosten für den Austausch des Türantriebes</t>
  </si>
  <si>
    <t>Kosten für Ölwechsel</t>
  </si>
  <si>
    <t>Kosten für Hydraulikschläuche</t>
  </si>
  <si>
    <t>Kosten für Umrichter</t>
  </si>
  <si>
    <t>Nutzungskat.</t>
  </si>
  <si>
    <t>Lebenszykluskosten Angebotspreis, GW, EW, ZÜS, Komponenten Hydraulik Notruf &amp; Energie gesamt</t>
  </si>
  <si>
    <t>Berechnung der Kosten für Wartung, Notruf, Prüfungen und Instandhaltung</t>
  </si>
  <si>
    <t>Anschaffungspreis</t>
  </si>
  <si>
    <t>Anschaffungspreis pro Aufzug</t>
  </si>
  <si>
    <t>Nach der Dateneingabe durch den Planer / Auftraggeber ist die Seite im Anschluss durch einen eigenen Blattschutz zu verschlüsseln.</t>
  </si>
  <si>
    <t>Auf dieser Seite werden alle notwendigen Daten des Planers oder Auftraggebers eingetragen. Die hervorgehobenen Zeilen sind Angaben die für den Angebotsvergleich benötigt werden. Danach ist diese mit einem Blattschutz zu versehen.</t>
  </si>
  <si>
    <t>Anschaffungskosten des Aufzuges Gemäß Leistungsvezeichnis</t>
  </si>
  <si>
    <t>B6.01</t>
  </si>
  <si>
    <t>Alle Preise sind als netto Werte einzutragen</t>
  </si>
  <si>
    <t>Anschaffungskosten des Aufzuges ohne Wartung, Notruf und sonstiger Nebenkosten</t>
  </si>
  <si>
    <t>7.</t>
  </si>
  <si>
    <t>Berechnung der Gesamtkosten von Anschaffungspreis und Betriebskosten</t>
  </si>
  <si>
    <t>Lebenszykluskosten</t>
  </si>
  <si>
    <r>
      <t xml:space="preserve">Berechnung der Gesamtkosten für GW, EW, Verschleißteile </t>
    </r>
    <r>
      <rPr>
        <b/>
        <sz val="11"/>
        <color theme="1"/>
        <rFont val="Arial"/>
        <family val="2"/>
      </rPr>
      <t>Seilaufzug</t>
    </r>
    <r>
      <rPr>
        <sz val="11"/>
        <color theme="1"/>
        <rFont val="Arial"/>
        <family val="2"/>
      </rPr>
      <t>, ZÜS, Notruf und Energie</t>
    </r>
  </si>
  <si>
    <r>
      <t xml:space="preserve">Berechnung der Gesamtkosten für GW, EW, Verschleißteile </t>
    </r>
    <r>
      <rPr>
        <b/>
        <sz val="11"/>
        <color theme="1"/>
        <rFont val="Arial"/>
        <family val="2"/>
      </rPr>
      <t>Hydraulikaufzug</t>
    </r>
    <r>
      <rPr>
        <sz val="11"/>
        <color theme="1"/>
        <rFont val="Arial"/>
        <family val="2"/>
      </rPr>
      <t>, ZÜS, Notruf und Energie</t>
    </r>
  </si>
  <si>
    <t>E5.01</t>
  </si>
  <si>
    <t>Stundensätze, Störungseinsätze, Zuschläge</t>
  </si>
  <si>
    <t>Zuschläge</t>
  </si>
  <si>
    <t>Einsatzpauschale / Fahrzeug</t>
  </si>
  <si>
    <t>Nachtzuschläge</t>
  </si>
  <si>
    <t>Stundensatz Monteur</t>
  </si>
  <si>
    <t>Nachtzuschläge / Wochenend / Feiertag</t>
  </si>
  <si>
    <t>Personenbefreiung pro Einsatz</t>
  </si>
  <si>
    <t>B7.01</t>
  </si>
  <si>
    <t>B7.02</t>
  </si>
  <si>
    <t>B7.03</t>
  </si>
  <si>
    <t>B7.04</t>
  </si>
  <si>
    <t>B7.05</t>
  </si>
  <si>
    <t>Kleinmaterial pro Störungseinsatz</t>
  </si>
  <si>
    <t>B7.06</t>
  </si>
  <si>
    <t>Stundensätze, Fahrzeugpauschale, Zuschläge, Kleinteile, Personenbefreiung</t>
  </si>
  <si>
    <t>Fahrzeug / Einsatzpauschale</t>
  </si>
  <si>
    <t>Nachtzuschläge Wochentags</t>
  </si>
  <si>
    <t>Nachtzuschläge, Wochenende, Feiertag</t>
  </si>
  <si>
    <t>Stundensatz</t>
  </si>
  <si>
    <t>Kosten für Notruf und Bereitschaft / Personenbefreiung pro Jahr</t>
  </si>
  <si>
    <t>Berechnung der Kosten für Einfachwartung, Notruf, ZÜS-Prüfungen und Instandhaltung</t>
  </si>
  <si>
    <t>Hier werden alle Angaben der bietenden Firma eingetragen. Diese Angaben sind für die nachfolgenden Berechnung notwendig. Auszufüllen sind nur die Felder die auch zutreffend sind.</t>
  </si>
  <si>
    <t>E-Lebenszykluskosten</t>
  </si>
  <si>
    <t>Lebenszykluskosten Vergleich</t>
  </si>
  <si>
    <t>Erlklärung von Abkürzungen:</t>
  </si>
  <si>
    <t>GW - Gewährleistungswartung</t>
  </si>
  <si>
    <t>EW - Einfachwartung</t>
  </si>
  <si>
    <t>VW - Vollwartung</t>
  </si>
  <si>
    <t>ZÜS - Zugelassene Überwachungsstelle (z.B. TÜV)</t>
  </si>
  <si>
    <t>Füllen Sie bitte die grauen Zellen die Zutreffend sind aus. Weiße Zellen werden automatisch berechnet. (Planer)</t>
  </si>
  <si>
    <t>Der Fachplaner hat zunächst im Tabellenblatt A seine Eintragungen vorzunehmen und im Anschluss einen Schreibschutz hinzuzufügen.</t>
  </si>
  <si>
    <t>Die bietendene Firma gibt dann ihre Eintragungen im Tabellenblatt B ein. Zur Abgabe des Angebotes sind die Eingaben vollständig auszufüllen und mit dem Angebot einzureichen.</t>
  </si>
  <si>
    <t>Nachtzuschläge pro Std.</t>
  </si>
  <si>
    <t>Nachtzuschläge / Wochenend / Feiertag pro Std.</t>
  </si>
  <si>
    <t>V02.25-KB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</si>
</sst>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 #,##0.00\ &quot;€&quot;_-;\-* #,##0.00\ &quot;€&quot;_-;_-* &quot;-&quot;??\ &quot;€&quot;_-;_-@_-"/>
    <numFmt numFmtId="164" formatCode="0.0"/>
    <numFmt numFmtId="165" formatCode="#,##0.00\ &quot;€&quot;"/>
    <numFmt numFmtId="166" formatCode="#,##0.000"/>
    <numFmt numFmtId="167" formatCode="#,##0.0000\ &quot;€&quot;"/>
    <numFmt numFmtId="168" formatCode="_-* #,##0.00\ [$€-407]_-;\-* #,##0.00\ [$€-407]_-;_-* &quot;-&quot;??\ [$€-407]_-;_-@_-"/>
    <numFmt numFmtId="169" formatCode="#,##0.00_ ;\-#,##0.00\ "/>
    <numFmt numFmtId="170" formatCode="#,##0_ ;\-#,##0\ "/>
  </numFmts>
  <fonts count="30" x14ac:knownFonts="1">
    <font>
      <sz val="11"/>
      <color theme="1"/>
      <name val="Calibri"/>
      <family val="2"/>
      <scheme val="minor"/>
    </font>
    <font>
      <b/>
      <sz val="11"/>
      <color indexed="8"/>
      <name val="Calibri"/>
      <family val="2"/>
    </font>
    <font>
      <b/>
      <sz val="14"/>
      <color indexed="8"/>
      <name val="Calibri"/>
      <family val="2"/>
    </font>
    <font>
      <sz val="10"/>
      <color indexed="8"/>
      <name val="Arial"/>
      <family val="2"/>
    </font>
    <font>
      <b/>
      <sz val="10"/>
      <color indexed="8"/>
      <name val="Arial"/>
      <family val="2"/>
    </font>
    <font>
      <sz val="10"/>
      <color indexed="8"/>
      <name val="Arial"/>
      <family val="2"/>
    </font>
    <font>
      <sz val="10"/>
      <name val="Arial"/>
      <family val="2"/>
    </font>
    <font>
      <sz val="11"/>
      <color indexed="30"/>
      <name val="Calibri"/>
      <family val="2"/>
    </font>
    <font>
      <b/>
      <sz val="11"/>
      <color indexed="30"/>
      <name val="Calibri"/>
      <family val="2"/>
    </font>
    <font>
      <b/>
      <sz val="11"/>
      <color theme="1"/>
      <name val="Calibri"/>
      <family val="2"/>
      <scheme val="minor"/>
    </font>
    <font>
      <u/>
      <sz val="11"/>
      <color theme="10"/>
      <name val="Calibri"/>
      <family val="2"/>
      <scheme val="minor"/>
    </font>
    <font>
      <i/>
      <sz val="11"/>
      <color theme="1"/>
      <name val="Calibri"/>
      <family val="2"/>
      <scheme val="minor"/>
    </font>
    <font>
      <b/>
      <sz val="14"/>
      <color theme="1"/>
      <name val="Calibri"/>
      <family val="2"/>
      <scheme val="minor"/>
    </font>
    <font>
      <sz val="10"/>
      <color theme="1"/>
      <name val="Arial"/>
      <family val="2"/>
    </font>
    <font>
      <b/>
      <sz val="10"/>
      <color theme="1"/>
      <name val="Arial"/>
      <family val="2"/>
    </font>
    <font>
      <sz val="11"/>
      <color theme="1"/>
      <name val="Arial"/>
      <family val="2"/>
    </font>
    <font>
      <b/>
      <sz val="11"/>
      <color theme="1"/>
      <name val="Arial"/>
      <family val="2"/>
    </font>
    <font>
      <b/>
      <sz val="14"/>
      <color theme="1"/>
      <name val="Arial"/>
      <family val="2"/>
    </font>
    <font>
      <i/>
      <u/>
      <sz val="11"/>
      <color theme="1"/>
      <name val="Arial"/>
      <family val="2"/>
    </font>
    <font>
      <sz val="14"/>
      <color theme="1"/>
      <name val="Arial"/>
      <family val="2"/>
    </font>
    <font>
      <sz val="11"/>
      <color rgb="FF0070C0"/>
      <name val="Calibri"/>
      <family val="2"/>
      <scheme val="minor"/>
    </font>
    <font>
      <b/>
      <sz val="11"/>
      <color rgb="FF0070C0"/>
      <name val="Calibri"/>
      <family val="2"/>
      <scheme val="minor"/>
    </font>
    <font>
      <sz val="10"/>
      <color theme="1"/>
      <name val="Calibri"/>
      <family val="2"/>
      <scheme val="minor"/>
    </font>
    <font>
      <sz val="14"/>
      <color theme="1"/>
      <name val="Calibri"/>
      <family val="2"/>
      <scheme val="minor"/>
    </font>
    <font>
      <b/>
      <sz val="13.5"/>
      <color theme="1"/>
      <name val="Calibri"/>
      <family val="2"/>
      <scheme val="minor"/>
    </font>
    <font>
      <b/>
      <sz val="10"/>
      <color rgb="FF0070C0"/>
      <name val="Arial"/>
      <family val="2"/>
    </font>
    <font>
      <b/>
      <sz val="11"/>
      <name val="Calibri"/>
      <family val="2"/>
      <scheme val="minor"/>
    </font>
    <font>
      <sz val="11"/>
      <name val="Calibri"/>
      <family val="2"/>
      <scheme val="minor"/>
    </font>
    <font>
      <b/>
      <sz val="16"/>
      <color theme="1"/>
      <name val="Calibri"/>
      <family val="2"/>
      <scheme val="minor"/>
    </font>
    <font>
      <sz val="10"/>
      <color rgb="FF0070C0"/>
      <name val="Arial"/>
      <family val="2"/>
    </font>
  </fonts>
  <fills count="19">
    <fill>
      <patternFill patternType="none"/>
    </fill>
    <fill>
      <patternFill patternType="gray125"/>
    </fill>
    <fill>
      <patternFill patternType="solid">
        <fgColor theme="0" tint="-0.14999847407452621"/>
        <bgColor indexed="64"/>
      </patternFill>
    </fill>
    <fill>
      <patternFill patternType="solid">
        <fgColor rgb="FF00B050"/>
        <bgColor indexed="64"/>
      </patternFill>
    </fill>
    <fill>
      <patternFill patternType="solid">
        <fgColor theme="6" tint="-0.249977111117893"/>
        <bgColor indexed="64"/>
      </patternFill>
    </fill>
    <fill>
      <patternFill patternType="solid">
        <fgColor theme="6"/>
        <bgColor indexed="64"/>
      </patternFill>
    </fill>
    <fill>
      <patternFill patternType="solid">
        <fgColor rgb="FFFFFF00"/>
        <bgColor indexed="64"/>
      </patternFill>
    </fill>
    <fill>
      <patternFill patternType="solid">
        <fgColor theme="9" tint="0.39997558519241921"/>
        <bgColor indexed="64"/>
      </patternFill>
    </fill>
    <fill>
      <patternFill patternType="solid">
        <fgColor rgb="FFFFC000"/>
        <bgColor indexed="64"/>
      </patternFill>
    </fill>
    <fill>
      <patternFill patternType="solid">
        <fgColor rgb="FFFF0000"/>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7030A0"/>
        <bgColor indexed="64"/>
      </patternFill>
    </fill>
    <fill>
      <patternFill patternType="solid">
        <fgColor theme="3" tint="0.39997558519241921"/>
        <bgColor indexed="64"/>
      </patternFill>
    </fill>
  </fills>
  <borders count="73">
    <border>
      <left/>
      <right/>
      <top/>
      <bottom/>
      <diagonal/>
    </border>
    <border>
      <left style="medium">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hair">
        <color indexed="64"/>
      </right>
      <top/>
      <bottom/>
      <diagonal/>
    </border>
    <border>
      <left style="medium">
        <color indexed="64"/>
      </left>
      <right style="medium">
        <color indexed="64"/>
      </right>
      <top/>
      <bottom/>
      <diagonal/>
    </border>
    <border>
      <left style="medium">
        <color indexed="64"/>
      </left>
      <right/>
      <top/>
      <bottom/>
      <diagonal/>
    </border>
    <border>
      <left style="hair">
        <color indexed="64"/>
      </left>
      <right/>
      <top/>
      <bottom/>
      <diagonal/>
    </border>
    <border>
      <left style="medium">
        <color indexed="64"/>
      </left>
      <right style="hair">
        <color indexed="64"/>
      </right>
      <top/>
      <bottom style="hair">
        <color indexed="64"/>
      </bottom>
      <diagonal/>
    </border>
    <border>
      <left/>
      <right/>
      <top/>
      <bottom style="hair">
        <color indexed="64"/>
      </bottom>
      <diagonal/>
    </border>
    <border>
      <left style="hair">
        <color indexed="64"/>
      </left>
      <right/>
      <top style="hair">
        <color indexed="64"/>
      </top>
      <bottom/>
      <diagonal/>
    </border>
    <border>
      <left style="medium">
        <color indexed="64"/>
      </left>
      <right style="medium">
        <color indexed="64"/>
      </right>
      <top/>
      <bottom style="hair">
        <color indexed="64"/>
      </bottom>
      <diagonal/>
    </border>
    <border>
      <left style="medium">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right/>
      <top style="hair">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right style="hair">
        <color indexed="64"/>
      </right>
      <top style="medium">
        <color indexed="64"/>
      </top>
      <bottom style="hair">
        <color indexed="64"/>
      </bottom>
      <diagonal/>
    </border>
    <border>
      <left/>
      <right/>
      <top style="medium">
        <color indexed="64"/>
      </top>
      <bottom/>
      <diagonal/>
    </border>
    <border>
      <left style="hair">
        <color indexed="64"/>
      </left>
      <right style="medium">
        <color indexed="64"/>
      </right>
      <top style="medium">
        <color indexed="64"/>
      </top>
      <bottom style="hair">
        <color indexed="64"/>
      </bottom>
      <diagonal/>
    </border>
    <border>
      <left/>
      <right style="medium">
        <color indexed="64"/>
      </right>
      <top style="hair">
        <color indexed="64"/>
      </top>
      <bottom/>
      <diagonal/>
    </border>
    <border>
      <left style="hair">
        <color indexed="64"/>
      </left>
      <right style="hair">
        <color indexed="64"/>
      </right>
      <top style="hair">
        <color indexed="64"/>
      </top>
      <bottom style="medium">
        <color indexed="64"/>
      </bottom>
      <diagonal/>
    </border>
    <border>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medium">
        <color indexed="64"/>
      </left>
      <right style="medium">
        <color indexed="64"/>
      </right>
      <top style="hair">
        <color indexed="64"/>
      </top>
      <bottom style="hair">
        <color indexed="64"/>
      </bottom>
      <diagonal/>
    </border>
    <border>
      <left style="medium">
        <color indexed="64"/>
      </left>
      <right style="medium">
        <color indexed="64"/>
      </right>
      <top style="hair">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style="hair">
        <color indexed="64"/>
      </right>
      <top/>
      <bottom/>
      <diagonal/>
    </border>
    <border>
      <left style="medium">
        <color indexed="64"/>
      </left>
      <right/>
      <top style="hair">
        <color indexed="64"/>
      </top>
      <bottom style="medium">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top style="hair">
        <color indexed="64"/>
      </top>
      <bottom style="medium">
        <color indexed="64"/>
      </bottom>
      <diagonal/>
    </border>
  </borders>
  <cellStyleXfs count="2">
    <xf numFmtId="0" fontId="0" fillId="0" borderId="0"/>
    <xf numFmtId="0" fontId="10" fillId="0" borderId="0" applyNumberFormat="0" applyFill="0" applyBorder="0" applyAlignment="0" applyProtection="0"/>
  </cellStyleXfs>
  <cellXfs count="502">
    <xf numFmtId="0" fontId="0" fillId="0" borderId="0" xfId="0"/>
    <xf numFmtId="0" fontId="0" fillId="0" borderId="0" xfId="0" applyFill="1"/>
    <xf numFmtId="0" fontId="11" fillId="0" borderId="0" xfId="0" applyFont="1"/>
    <xf numFmtId="0" fontId="12" fillId="0" borderId="0" xfId="0" applyFont="1"/>
    <xf numFmtId="0" fontId="13" fillId="0" borderId="0" xfId="0" applyFont="1" applyAlignment="1" applyProtection="1">
      <alignment horizontal="center" vertical="center"/>
      <protection locked="0"/>
    </xf>
    <xf numFmtId="0" fontId="13" fillId="0" borderId="0" xfId="0" applyNumberFormat="1" applyFont="1" applyBorder="1" applyAlignment="1" applyProtection="1">
      <alignment horizontal="center" vertical="center"/>
      <protection locked="0"/>
    </xf>
    <xf numFmtId="0" fontId="14" fillId="0" borderId="0" xfId="0" applyFont="1" applyAlignment="1" applyProtection="1">
      <alignment horizontal="left" vertical="center"/>
      <protection locked="0"/>
    </xf>
    <xf numFmtId="0" fontId="14" fillId="0" borderId="0" xfId="0" applyFont="1" applyBorder="1" applyAlignment="1" applyProtection="1">
      <alignment horizontal="left" vertical="center"/>
      <protection locked="0"/>
    </xf>
    <xf numFmtId="0" fontId="13" fillId="0" borderId="0" xfId="0" applyFont="1" applyFill="1" applyBorder="1" applyAlignment="1" applyProtection="1">
      <alignment horizontal="center" vertical="center"/>
      <protection locked="0"/>
    </xf>
    <xf numFmtId="0" fontId="13" fillId="0" borderId="0" xfId="0" applyFont="1" applyAlignment="1" applyProtection="1">
      <alignment horizontal="left" vertical="center"/>
      <protection locked="0"/>
    </xf>
    <xf numFmtId="0" fontId="13" fillId="0" borderId="1" xfId="0" applyNumberFormat="1" applyFont="1" applyBorder="1" applyAlignment="1" applyProtection="1">
      <alignment horizontal="center" vertical="center"/>
      <protection locked="0"/>
    </xf>
    <xf numFmtId="0" fontId="14" fillId="0" borderId="2" xfId="0" applyFont="1" applyBorder="1" applyAlignment="1" applyProtection="1">
      <alignment horizontal="center" vertical="center"/>
      <protection locked="0"/>
    </xf>
    <xf numFmtId="0" fontId="14" fillId="0" borderId="3" xfId="0" applyFont="1" applyBorder="1" applyAlignment="1" applyProtection="1">
      <alignment horizontal="center" vertical="center"/>
      <protection locked="0"/>
    </xf>
    <xf numFmtId="0" fontId="14" fillId="0" borderId="0"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3" fillId="0" borderId="4" xfId="0" applyNumberFormat="1" applyFont="1" applyBorder="1" applyAlignment="1" applyProtection="1">
      <alignment horizontal="center" vertical="center"/>
      <protection locked="0"/>
    </xf>
    <xf numFmtId="0" fontId="13" fillId="0" borderId="0" xfId="0" applyFont="1" applyBorder="1" applyAlignment="1" applyProtection="1">
      <alignment horizontal="left" vertical="center"/>
      <protection locked="0"/>
    </xf>
    <xf numFmtId="0" fontId="13" fillId="0" borderId="5" xfId="0" applyFont="1" applyBorder="1" applyAlignment="1" applyProtection="1">
      <alignment horizontal="center" vertical="center"/>
      <protection locked="0"/>
    </xf>
    <xf numFmtId="0" fontId="13" fillId="0" borderId="0" xfId="0" applyFont="1" applyBorder="1" applyAlignment="1" applyProtection="1">
      <alignment horizontal="left" vertical="center" wrapText="1"/>
      <protection locked="0"/>
    </xf>
    <xf numFmtId="0" fontId="13" fillId="0" borderId="0"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protection locked="0"/>
    </xf>
    <xf numFmtId="0" fontId="14" fillId="0" borderId="4" xfId="0" applyNumberFormat="1" applyFont="1" applyBorder="1" applyAlignment="1" applyProtection="1">
      <alignment horizontal="center" vertical="center"/>
      <protection locked="0"/>
    </xf>
    <xf numFmtId="0" fontId="14" fillId="0" borderId="4" xfId="0" applyNumberFormat="1" applyFont="1" applyBorder="1" applyAlignment="1" applyProtection="1">
      <alignment horizontal="center"/>
      <protection locked="0"/>
    </xf>
    <xf numFmtId="0" fontId="13" fillId="0" borderId="0" xfId="0" applyFont="1" applyBorder="1" applyAlignment="1" applyProtection="1">
      <alignment horizontal="left"/>
      <protection locked="0"/>
    </xf>
    <xf numFmtId="0" fontId="13" fillId="0" borderId="0" xfId="0" applyFont="1" applyAlignment="1" applyProtection="1">
      <alignment horizontal="center"/>
      <protection locked="0"/>
    </xf>
    <xf numFmtId="0" fontId="13" fillId="0" borderId="0" xfId="0" applyFont="1" applyBorder="1" applyAlignment="1" applyProtection="1">
      <alignment horizontal="center"/>
      <protection locked="0"/>
    </xf>
    <xf numFmtId="0" fontId="14" fillId="0" borderId="0" xfId="0" applyFont="1" applyBorder="1" applyAlignment="1" applyProtection="1">
      <alignment horizontal="left" vertical="center" wrapText="1"/>
      <protection locked="0"/>
    </xf>
    <xf numFmtId="0" fontId="13" fillId="0" borderId="0" xfId="0" applyFont="1" applyAlignment="1" applyProtection="1">
      <alignment horizontal="right" vertical="center"/>
      <protection locked="0"/>
    </xf>
    <xf numFmtId="0" fontId="13" fillId="2" borderId="0" xfId="0" applyFont="1" applyFill="1" applyBorder="1" applyAlignment="1" applyProtection="1">
      <alignment horizontal="left" vertical="center" wrapText="1"/>
      <protection locked="0"/>
    </xf>
    <xf numFmtId="2" fontId="14" fillId="0" borderId="5" xfId="0" applyNumberFormat="1" applyFont="1" applyFill="1" applyBorder="1" applyAlignment="1" applyProtection="1">
      <alignment horizontal="center" vertical="center"/>
      <protection locked="0"/>
    </xf>
    <xf numFmtId="0" fontId="13" fillId="0" borderId="4" xfId="0" applyNumberFormat="1" applyFont="1" applyFill="1" applyBorder="1" applyAlignment="1" applyProtection="1">
      <alignment horizontal="center" vertical="center"/>
      <protection locked="0"/>
    </xf>
    <xf numFmtId="0" fontId="13" fillId="0" borderId="0" xfId="0" applyFont="1" applyFill="1" applyBorder="1" applyAlignment="1" applyProtection="1">
      <alignment horizontal="left" vertical="center" wrapText="1"/>
      <protection locked="0"/>
    </xf>
    <xf numFmtId="49" fontId="14" fillId="0" borderId="4" xfId="0" applyNumberFormat="1" applyFont="1" applyBorder="1" applyAlignment="1" applyProtection="1">
      <alignment horizontal="center" vertical="center"/>
      <protection locked="0"/>
    </xf>
    <xf numFmtId="49" fontId="13" fillId="0" borderId="0" xfId="0" applyNumberFormat="1" applyFont="1" applyBorder="1" applyAlignment="1" applyProtection="1">
      <alignment horizontal="center" vertical="center"/>
      <protection locked="0"/>
    </xf>
    <xf numFmtId="0" fontId="13" fillId="0" borderId="0" xfId="0" applyFont="1" applyFill="1" applyAlignment="1" applyProtection="1">
      <alignment horizontal="center" vertical="center"/>
      <protection locked="0"/>
    </xf>
    <xf numFmtId="0" fontId="13" fillId="0" borderId="0" xfId="0" applyFont="1" applyFill="1" applyAlignment="1" applyProtection="1">
      <alignment horizontal="left" vertical="center"/>
      <protection locked="0"/>
    </xf>
    <xf numFmtId="49" fontId="13" fillId="0" borderId="6" xfId="0" applyNumberFormat="1" applyFont="1" applyFill="1" applyBorder="1" applyAlignment="1" applyProtection="1">
      <alignment horizontal="center" vertical="center"/>
      <protection locked="0"/>
    </xf>
    <xf numFmtId="0" fontId="13" fillId="0" borderId="7" xfId="0" applyFont="1" applyFill="1" applyBorder="1" applyAlignment="1" applyProtection="1">
      <alignment horizontal="left" vertical="center" wrapText="1"/>
      <protection locked="0"/>
    </xf>
    <xf numFmtId="0" fontId="14" fillId="0" borderId="8" xfId="0" applyNumberFormat="1" applyFont="1" applyBorder="1" applyAlignment="1" applyProtection="1">
      <alignment horizontal="center" vertical="center"/>
      <protection locked="0"/>
    </xf>
    <xf numFmtId="0" fontId="13" fillId="2" borderId="9" xfId="0" applyFont="1" applyFill="1" applyBorder="1" applyAlignment="1" applyProtection="1">
      <alignment horizontal="left" vertical="center"/>
      <protection locked="0"/>
    </xf>
    <xf numFmtId="49" fontId="13" fillId="0" borderId="6" xfId="0" applyNumberFormat="1" applyFont="1" applyBorder="1" applyAlignment="1" applyProtection="1">
      <alignment horizontal="center" vertical="center"/>
      <protection locked="0"/>
    </xf>
    <xf numFmtId="0" fontId="13" fillId="0" borderId="10" xfId="0" applyFont="1" applyBorder="1" applyAlignment="1" applyProtection="1">
      <alignment vertical="center" wrapText="1"/>
      <protection locked="0"/>
    </xf>
    <xf numFmtId="0" fontId="13" fillId="0" borderId="7" xfId="0" applyFont="1" applyBorder="1" applyAlignment="1" applyProtection="1">
      <protection locked="0"/>
    </xf>
    <xf numFmtId="49" fontId="13" fillId="0" borderId="4" xfId="0" applyNumberFormat="1" applyFont="1" applyBorder="1" applyAlignment="1" applyProtection="1">
      <alignment horizontal="center" vertical="center"/>
      <protection locked="0"/>
    </xf>
    <xf numFmtId="165" fontId="13" fillId="0" borderId="5" xfId="0" applyNumberFormat="1" applyFont="1" applyBorder="1" applyAlignment="1" applyProtection="1">
      <alignment horizontal="center" vertical="center"/>
      <protection locked="0"/>
    </xf>
    <xf numFmtId="0" fontId="14" fillId="0" borderId="9" xfId="0" applyFont="1" applyFill="1" applyBorder="1" applyAlignment="1" applyProtection="1">
      <alignment horizontal="left" vertical="center"/>
      <protection locked="0"/>
    </xf>
    <xf numFmtId="165" fontId="13" fillId="0" borderId="11" xfId="0" applyNumberFormat="1" applyFont="1" applyBorder="1" applyAlignment="1" applyProtection="1">
      <alignment horizontal="center" vertical="center"/>
      <protection locked="0"/>
    </xf>
    <xf numFmtId="0" fontId="13" fillId="0" borderId="0" xfId="0" applyFont="1" applyBorder="1" applyAlignment="1" applyProtection="1">
      <alignment horizontal="right" vertical="center"/>
      <protection locked="0"/>
    </xf>
    <xf numFmtId="166" fontId="13" fillId="0" borderId="5" xfId="0" applyNumberFormat="1" applyFont="1" applyBorder="1" applyAlignment="1" applyProtection="1">
      <alignment horizontal="center" vertical="center"/>
      <protection locked="0"/>
    </xf>
    <xf numFmtId="49" fontId="14" fillId="0" borderId="8" xfId="0" applyNumberFormat="1" applyFont="1" applyBorder="1" applyAlignment="1" applyProtection="1">
      <alignment horizontal="center" vertical="center"/>
      <protection locked="0"/>
    </xf>
    <xf numFmtId="0" fontId="14" fillId="0" borderId="9" xfId="0" applyFont="1" applyBorder="1" applyAlignment="1" applyProtection="1">
      <alignment horizontal="left" vertical="center"/>
      <protection locked="0"/>
    </xf>
    <xf numFmtId="0" fontId="13" fillId="0" borderId="11" xfId="0" applyFont="1" applyBorder="1" applyAlignment="1" applyProtection="1">
      <alignment horizontal="center" vertical="center"/>
      <protection locked="0"/>
    </xf>
    <xf numFmtId="0" fontId="14" fillId="0" borderId="0" xfId="0" applyFont="1" applyFill="1" applyBorder="1" applyAlignment="1" applyProtection="1">
      <alignment horizontal="left" vertical="center"/>
      <protection locked="0"/>
    </xf>
    <xf numFmtId="49" fontId="13" fillId="0" borderId="8" xfId="0" applyNumberFormat="1" applyFont="1" applyBorder="1" applyAlignment="1" applyProtection="1">
      <alignment horizontal="center" vertical="center"/>
      <protection locked="0"/>
    </xf>
    <xf numFmtId="0" fontId="13" fillId="0" borderId="9" xfId="0" applyFont="1" applyBorder="1" applyAlignment="1" applyProtection="1">
      <alignment horizontal="left" vertical="center"/>
      <protection locked="0"/>
    </xf>
    <xf numFmtId="49" fontId="13" fillId="0" borderId="12" xfId="0" applyNumberFormat="1" applyFont="1" applyBorder="1" applyAlignment="1" applyProtection="1">
      <alignment horizontal="center" vertical="center"/>
      <protection locked="0"/>
    </xf>
    <xf numFmtId="0" fontId="13" fillId="0" borderId="13" xfId="0" applyFont="1" applyBorder="1" applyAlignment="1" applyProtection="1">
      <alignment horizontal="left" vertical="center"/>
      <protection locked="0"/>
    </xf>
    <xf numFmtId="49" fontId="13" fillId="0" borderId="14" xfId="0" applyNumberFormat="1" applyFont="1" applyBorder="1" applyAlignment="1" applyProtection="1">
      <alignment horizontal="center" vertical="center"/>
      <protection locked="0"/>
    </xf>
    <xf numFmtId="0" fontId="13" fillId="0" borderId="15" xfId="0" applyFont="1" applyBorder="1" applyAlignment="1" applyProtection="1">
      <alignment horizontal="left" vertical="center"/>
      <protection locked="0"/>
    </xf>
    <xf numFmtId="49" fontId="13" fillId="0" borderId="0" xfId="0" applyNumberFormat="1" applyFont="1" applyFill="1" applyBorder="1" applyAlignment="1" applyProtection="1">
      <alignment vertical="center"/>
      <protection locked="0"/>
    </xf>
    <xf numFmtId="0" fontId="5" fillId="0" borderId="16" xfId="0" applyFont="1" applyBorder="1" applyAlignment="1" applyProtection="1">
      <alignment horizontal="center" vertical="center"/>
      <protection locked="0"/>
    </xf>
    <xf numFmtId="0" fontId="13" fillId="0" borderId="16" xfId="0" applyFont="1" applyBorder="1" applyAlignment="1" applyProtection="1">
      <alignment horizontal="center" vertical="center"/>
      <protection locked="0"/>
    </xf>
    <xf numFmtId="0" fontId="13" fillId="0" borderId="17" xfId="0" applyFont="1" applyBorder="1" applyAlignment="1" applyProtection="1">
      <alignment horizontal="center" vertical="center"/>
      <protection locked="0"/>
    </xf>
    <xf numFmtId="0" fontId="13" fillId="3" borderId="18" xfId="0" applyFont="1" applyFill="1" applyBorder="1" applyAlignment="1" applyProtection="1">
      <alignment horizontal="center" vertical="center"/>
      <protection locked="0"/>
    </xf>
    <xf numFmtId="0" fontId="13" fillId="4" borderId="18" xfId="0" applyFont="1" applyFill="1" applyBorder="1" applyAlignment="1" applyProtection="1">
      <alignment horizontal="center" vertical="center" wrapText="1"/>
      <protection locked="0"/>
    </xf>
    <xf numFmtId="0" fontId="13" fillId="5" borderId="18" xfId="0" applyFont="1" applyFill="1" applyBorder="1" applyAlignment="1" applyProtection="1">
      <alignment horizontal="center" vertical="center" wrapText="1"/>
      <protection locked="0"/>
    </xf>
    <xf numFmtId="0" fontId="13" fillId="6" borderId="18" xfId="0" applyFont="1" applyFill="1" applyBorder="1" applyAlignment="1" applyProtection="1">
      <alignment horizontal="center" vertical="center" wrapText="1"/>
      <protection locked="0"/>
    </xf>
    <xf numFmtId="0" fontId="13" fillId="7" borderId="18" xfId="0" applyFont="1" applyFill="1" applyBorder="1" applyAlignment="1" applyProtection="1">
      <alignment horizontal="center" vertical="center" wrapText="1"/>
      <protection locked="0"/>
    </xf>
    <xf numFmtId="0" fontId="13" fillId="8" borderId="18" xfId="0" applyFont="1" applyFill="1" applyBorder="1" applyAlignment="1" applyProtection="1">
      <alignment horizontal="center" vertical="center" wrapText="1"/>
      <protection locked="0"/>
    </xf>
    <xf numFmtId="49" fontId="13" fillId="9" borderId="19" xfId="0" applyNumberFormat="1" applyFont="1" applyFill="1" applyBorder="1" applyAlignment="1" applyProtection="1">
      <alignment horizontal="center" vertical="center"/>
      <protection locked="0"/>
    </xf>
    <xf numFmtId="0" fontId="13" fillId="0" borderId="0" xfId="0" applyNumberFormat="1" applyFont="1" applyAlignment="1" applyProtection="1">
      <alignment horizontal="center" vertical="center"/>
      <protection locked="0"/>
    </xf>
    <xf numFmtId="0" fontId="14" fillId="0" borderId="0" xfId="0" applyFont="1" applyFill="1" applyBorder="1" applyAlignment="1" applyProtection="1">
      <alignment horizontal="center" vertical="center"/>
      <protection locked="0"/>
    </xf>
    <xf numFmtId="0" fontId="13" fillId="0" borderId="16" xfId="0" applyFont="1" applyFill="1" applyBorder="1" applyAlignment="1" applyProtection="1">
      <alignment horizontal="center" vertical="center"/>
      <protection locked="0"/>
    </xf>
    <xf numFmtId="0" fontId="14" fillId="0" borderId="20" xfId="0" applyFont="1" applyFill="1" applyBorder="1" applyAlignment="1" applyProtection="1">
      <alignment vertical="center"/>
      <protection locked="0"/>
    </xf>
    <xf numFmtId="0" fontId="6" fillId="0" borderId="21"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13" fillId="0" borderId="25" xfId="0" applyFont="1" applyBorder="1" applyAlignment="1" applyProtection="1">
      <alignment horizontal="center" vertical="center"/>
      <protection locked="0"/>
    </xf>
    <xf numFmtId="0" fontId="13" fillId="0" borderId="26" xfId="0" applyFont="1" applyBorder="1" applyAlignment="1" applyProtection="1">
      <alignment horizontal="center" vertical="center"/>
      <protection locked="0"/>
    </xf>
    <xf numFmtId="0" fontId="13" fillId="0" borderId="27" xfId="0" applyFont="1" applyBorder="1" applyAlignment="1" applyProtection="1">
      <alignment horizontal="center" vertical="center"/>
      <protection locked="0"/>
    </xf>
    <xf numFmtId="0" fontId="13" fillId="0" borderId="28" xfId="0" applyFont="1" applyBorder="1" applyAlignment="1" applyProtection="1">
      <alignment horizontal="center" vertical="center"/>
      <protection locked="0"/>
    </xf>
    <xf numFmtId="0" fontId="0" fillId="10" borderId="0" xfId="0" applyFill="1"/>
    <xf numFmtId="4" fontId="0" fillId="0" borderId="0" xfId="0" applyNumberFormat="1"/>
    <xf numFmtId="0" fontId="0" fillId="0" borderId="0" xfId="0"/>
    <xf numFmtId="0" fontId="0" fillId="0" borderId="0" xfId="0" applyAlignment="1">
      <alignment horizontal="right"/>
    </xf>
    <xf numFmtId="2" fontId="0" fillId="0" borderId="0" xfId="0" applyNumberFormat="1"/>
    <xf numFmtId="0" fontId="9" fillId="0" borderId="0" xfId="0" applyFont="1"/>
    <xf numFmtId="0" fontId="0" fillId="0" borderId="0" xfId="0" applyBorder="1"/>
    <xf numFmtId="0" fontId="0" fillId="0" borderId="0" xfId="0" applyFill="1" applyBorder="1"/>
    <xf numFmtId="0" fontId="9" fillId="0" borderId="0" xfId="0" applyFont="1" applyAlignment="1">
      <alignment horizontal="right"/>
    </xf>
    <xf numFmtId="0" fontId="0" fillId="8" borderId="0" xfId="0" applyFill="1"/>
    <xf numFmtId="49" fontId="9" fillId="0" borderId="0" xfId="0" applyNumberFormat="1" applyFont="1"/>
    <xf numFmtId="49" fontId="0" fillId="0" borderId="0" xfId="0" applyNumberFormat="1" applyFont="1"/>
    <xf numFmtId="0" fontId="9" fillId="8" borderId="0" xfId="0" applyFont="1" applyFill="1" applyAlignment="1">
      <alignment horizontal="right"/>
    </xf>
    <xf numFmtId="168" fontId="0" fillId="0" borderId="0" xfId="0" applyNumberFormat="1"/>
    <xf numFmtId="168" fontId="9" fillId="0" borderId="0" xfId="0" applyNumberFormat="1" applyFont="1"/>
    <xf numFmtId="168" fontId="0" fillId="10" borderId="0" xfId="0" applyNumberFormat="1" applyFill="1"/>
    <xf numFmtId="168" fontId="0" fillId="11" borderId="0" xfId="0" applyNumberFormat="1" applyFill="1"/>
    <xf numFmtId="49" fontId="0" fillId="12" borderId="0" xfId="0" applyNumberFormat="1" applyFont="1" applyFill="1"/>
    <xf numFmtId="0" fontId="0" fillId="12" borderId="0" xfId="0" applyFill="1"/>
    <xf numFmtId="0" fontId="0" fillId="12" borderId="0" xfId="0" applyFont="1" applyFill="1"/>
    <xf numFmtId="164" fontId="13" fillId="11" borderId="5" xfId="0" applyNumberFormat="1" applyFont="1" applyFill="1" applyBorder="1" applyAlignment="1" applyProtection="1">
      <alignment horizontal="center" vertical="center"/>
    </xf>
    <xf numFmtId="164" fontId="13" fillId="11" borderId="5" xfId="0" applyNumberFormat="1" applyFont="1" applyFill="1" applyBorder="1" applyAlignment="1" applyProtection="1">
      <alignment horizontal="center"/>
    </xf>
    <xf numFmtId="164" fontId="13" fillId="0" borderId="5" xfId="0" applyNumberFormat="1" applyFont="1" applyBorder="1" applyAlignment="1" applyProtection="1">
      <alignment horizontal="center" vertical="center"/>
    </xf>
    <xf numFmtId="1" fontId="13" fillId="11" borderId="5" xfId="0" applyNumberFormat="1" applyFont="1" applyFill="1" applyBorder="1" applyAlignment="1" applyProtection="1">
      <alignment horizontal="center" vertical="center"/>
    </xf>
    <xf numFmtId="2" fontId="13" fillId="0" borderId="5" xfId="0" applyNumberFormat="1" applyFont="1" applyBorder="1" applyAlignment="1" applyProtection="1">
      <alignment horizontal="center" vertical="center"/>
    </xf>
    <xf numFmtId="2" fontId="14" fillId="0" borderId="5" xfId="0" applyNumberFormat="1" applyFont="1" applyFill="1" applyBorder="1" applyAlignment="1" applyProtection="1">
      <alignment horizontal="center" vertical="center"/>
    </xf>
    <xf numFmtId="0" fontId="13" fillId="11" borderId="11" xfId="0" applyNumberFormat="1" applyFont="1" applyFill="1" applyBorder="1" applyAlignment="1" applyProtection="1">
      <alignment horizontal="center" vertical="center"/>
    </xf>
    <xf numFmtId="0" fontId="13" fillId="0" borderId="5" xfId="0" applyFont="1" applyFill="1" applyBorder="1" applyAlignment="1" applyProtection="1">
      <alignment horizontal="center" vertical="center"/>
    </xf>
    <xf numFmtId="3" fontId="13" fillId="0" borderId="5" xfId="0" applyNumberFormat="1" applyFont="1" applyBorder="1" applyAlignment="1" applyProtection="1">
      <alignment horizontal="center" vertical="center"/>
    </xf>
    <xf numFmtId="166" fontId="13" fillId="0" borderId="5" xfId="0" applyNumberFormat="1" applyFont="1" applyBorder="1" applyAlignment="1" applyProtection="1">
      <alignment horizontal="center" vertical="center"/>
    </xf>
    <xf numFmtId="167" fontId="13" fillId="11" borderId="11" xfId="0" applyNumberFormat="1" applyFont="1" applyFill="1" applyBorder="1" applyAlignment="1" applyProtection="1">
      <alignment horizontal="center" vertical="center"/>
    </xf>
    <xf numFmtId="3" fontId="13" fillId="11" borderId="29" xfId="0" applyNumberFormat="1" applyFont="1" applyFill="1" applyBorder="1" applyAlignment="1" applyProtection="1">
      <alignment horizontal="center" vertical="center"/>
    </xf>
    <xf numFmtId="165" fontId="13" fillId="0" borderId="29" xfId="0" applyNumberFormat="1" applyFont="1" applyBorder="1" applyAlignment="1" applyProtection="1">
      <alignment horizontal="center" vertical="center"/>
    </xf>
    <xf numFmtId="4" fontId="13" fillId="0" borderId="30" xfId="0" applyNumberFormat="1" applyFont="1" applyBorder="1" applyAlignment="1" applyProtection="1">
      <alignment horizontal="center" vertical="center"/>
    </xf>
    <xf numFmtId="2" fontId="13" fillId="0" borderId="16" xfId="0" applyNumberFormat="1" applyFont="1" applyFill="1" applyBorder="1" applyAlignment="1" applyProtection="1">
      <alignment horizontal="center" vertical="center"/>
    </xf>
    <xf numFmtId="2" fontId="13" fillId="0" borderId="17" xfId="0" applyNumberFormat="1" applyFont="1" applyFill="1" applyBorder="1" applyAlignment="1" applyProtection="1">
      <alignment horizontal="center" vertical="center"/>
    </xf>
    <xf numFmtId="2" fontId="13" fillId="0" borderId="26" xfId="0" applyNumberFormat="1" applyFont="1" applyFill="1" applyBorder="1" applyAlignment="1" applyProtection="1">
      <alignment horizontal="center" vertical="center"/>
    </xf>
    <xf numFmtId="2" fontId="13" fillId="0" borderId="28" xfId="0" applyNumberFormat="1" applyFont="1" applyFill="1" applyBorder="1" applyAlignment="1" applyProtection="1">
      <alignment horizontal="center" vertical="center"/>
    </xf>
    <xf numFmtId="0" fontId="9" fillId="13" borderId="0" xfId="0" applyFont="1" applyFill="1"/>
    <xf numFmtId="0" fontId="0" fillId="0" borderId="0" xfId="0" applyFont="1"/>
    <xf numFmtId="49" fontId="15" fillId="0" borderId="0" xfId="0" applyNumberFormat="1" applyFont="1"/>
    <xf numFmtId="0" fontId="15" fillId="13" borderId="0" xfId="0" applyFont="1" applyFill="1"/>
    <xf numFmtId="0" fontId="15" fillId="0" borderId="0" xfId="0" applyFont="1"/>
    <xf numFmtId="49" fontId="15" fillId="12" borderId="0" xfId="0" applyNumberFormat="1" applyFont="1" applyFill="1"/>
    <xf numFmtId="0" fontId="15" fillId="12" borderId="0" xfId="0" applyFont="1" applyFill="1"/>
    <xf numFmtId="49" fontId="15" fillId="0" borderId="0" xfId="0" applyNumberFormat="1" applyFont="1" applyFill="1"/>
    <xf numFmtId="0" fontId="15" fillId="0" borderId="0" xfId="0" applyFont="1" applyFill="1"/>
    <xf numFmtId="0" fontId="15" fillId="0" borderId="0" xfId="0" applyFont="1" applyFill="1" applyBorder="1"/>
    <xf numFmtId="49" fontId="16" fillId="0" borderId="0" xfId="0" applyNumberFormat="1" applyFont="1"/>
    <xf numFmtId="0" fontId="16" fillId="0" borderId="0" xfId="0" applyFont="1" applyFill="1"/>
    <xf numFmtId="0" fontId="17" fillId="0" borderId="0" xfId="0" applyFont="1"/>
    <xf numFmtId="0" fontId="15" fillId="14" borderId="0" xfId="0" applyFont="1" applyFill="1"/>
    <xf numFmtId="4" fontId="15" fillId="0" borderId="0" xfId="0" applyNumberFormat="1" applyFont="1"/>
    <xf numFmtId="3" fontId="15" fillId="0" borderId="0" xfId="0" applyNumberFormat="1" applyFont="1" applyFill="1" applyBorder="1"/>
    <xf numFmtId="4" fontId="15" fillId="0" borderId="0" xfId="0" applyNumberFormat="1" applyFont="1" applyFill="1" applyBorder="1"/>
    <xf numFmtId="49" fontId="16" fillId="8" borderId="0" xfId="0" applyNumberFormat="1" applyFont="1" applyFill="1"/>
    <xf numFmtId="0" fontId="16" fillId="8" borderId="0" xfId="0" applyFont="1" applyFill="1"/>
    <xf numFmtId="0" fontId="15" fillId="8" borderId="0" xfId="0" applyFont="1" applyFill="1"/>
    <xf numFmtId="0" fontId="18" fillId="14" borderId="0" xfId="0" applyFont="1" applyFill="1"/>
    <xf numFmtId="2" fontId="15" fillId="0" borderId="0" xfId="0" applyNumberFormat="1" applyFont="1" applyFill="1" applyBorder="1"/>
    <xf numFmtId="4" fontId="15" fillId="8" borderId="0" xfId="0" applyNumberFormat="1" applyFont="1" applyFill="1"/>
    <xf numFmtId="2" fontId="15" fillId="0" borderId="0" xfId="0" applyNumberFormat="1" applyFont="1" applyFill="1" applyBorder="1" applyAlignment="1"/>
    <xf numFmtId="49" fontId="15" fillId="8" borderId="0" xfId="0" applyNumberFormat="1" applyFont="1" applyFill="1"/>
    <xf numFmtId="2" fontId="15" fillId="8" borderId="0" xfId="0" applyNumberFormat="1" applyFont="1" applyFill="1" applyBorder="1" applyAlignment="1"/>
    <xf numFmtId="4" fontId="15" fillId="0" borderId="0" xfId="0" applyNumberFormat="1" applyFont="1" applyFill="1"/>
    <xf numFmtId="0" fontId="17" fillId="11" borderId="0" xfId="0" applyFont="1" applyFill="1"/>
    <xf numFmtId="0" fontId="15" fillId="11" borderId="0" xfId="0" applyFont="1" applyFill="1"/>
    <xf numFmtId="0" fontId="17" fillId="14" borderId="0" xfId="0" applyFont="1" applyFill="1"/>
    <xf numFmtId="0" fontId="19" fillId="14" borderId="0" xfId="0" applyFont="1" applyFill="1"/>
    <xf numFmtId="0" fontId="17" fillId="13" borderId="0" xfId="0" applyFont="1" applyFill="1"/>
    <xf numFmtId="0" fontId="19" fillId="13" borderId="0" xfId="0" applyFont="1" applyFill="1"/>
    <xf numFmtId="0" fontId="17" fillId="15" borderId="0" xfId="0" applyFont="1" applyFill="1"/>
    <xf numFmtId="0" fontId="19" fillId="15" borderId="0" xfId="0" applyFont="1" applyFill="1"/>
    <xf numFmtId="0" fontId="17" fillId="0" borderId="0" xfId="0" applyFont="1" applyFill="1"/>
    <xf numFmtId="0" fontId="19" fillId="0" borderId="0" xfId="0" applyFont="1" applyFill="1"/>
    <xf numFmtId="4" fontId="15" fillId="0" borderId="0" xfId="0" applyNumberFormat="1" applyFont="1" applyFill="1" applyBorder="1" applyAlignment="1"/>
    <xf numFmtId="0" fontId="13" fillId="0" borderId="0" xfId="0" applyFont="1"/>
    <xf numFmtId="0" fontId="13" fillId="0" borderId="0" xfId="0" applyFont="1" applyAlignment="1">
      <alignment wrapText="1"/>
    </xf>
    <xf numFmtId="0" fontId="13" fillId="0" borderId="0" xfId="0" applyFont="1" applyAlignment="1">
      <alignment horizontal="left" vertical="center" indent="1"/>
    </xf>
    <xf numFmtId="0" fontId="19" fillId="0" borderId="0" xfId="0" applyFont="1"/>
    <xf numFmtId="0" fontId="19" fillId="11" borderId="0" xfId="0" applyFont="1" applyFill="1"/>
    <xf numFmtId="0" fontId="9" fillId="0" borderId="0" xfId="0" applyFont="1" applyAlignment="1">
      <alignment horizontal="center" wrapText="1"/>
    </xf>
    <xf numFmtId="0" fontId="0" fillId="0" borderId="31" xfId="0" applyBorder="1"/>
    <xf numFmtId="10" fontId="0" fillId="0" borderId="31" xfId="0" applyNumberFormat="1" applyBorder="1"/>
    <xf numFmtId="0" fontId="20" fillId="0" borderId="0" xfId="0" applyFont="1"/>
    <xf numFmtId="0" fontId="20" fillId="0" borderId="0" xfId="0" applyFont="1" applyBorder="1" applyAlignment="1">
      <alignment horizontal="left" vertical="top"/>
    </xf>
    <xf numFmtId="0" fontId="21" fillId="0" borderId="0" xfId="0" applyFont="1"/>
    <xf numFmtId="165" fontId="0" fillId="12" borderId="0" xfId="0" applyNumberFormat="1" applyFill="1"/>
    <xf numFmtId="4" fontId="0" fillId="13" borderId="0" xfId="0" applyNumberFormat="1" applyFill="1"/>
    <xf numFmtId="0" fontId="22" fillId="0" borderId="0" xfId="0" applyFont="1" applyAlignment="1">
      <alignment wrapText="1"/>
    </xf>
    <xf numFmtId="0" fontId="0" fillId="0" borderId="0" xfId="0" applyFont="1" applyFill="1"/>
    <xf numFmtId="168" fontId="0" fillId="0" borderId="0" xfId="0" applyNumberFormat="1" applyFill="1"/>
    <xf numFmtId="169" fontId="0" fillId="11" borderId="0" xfId="0" applyNumberFormat="1" applyFill="1"/>
    <xf numFmtId="4" fontId="0" fillId="11" borderId="0" xfId="0" applyNumberFormat="1" applyFill="1"/>
    <xf numFmtId="3" fontId="0" fillId="11" borderId="0" xfId="0" applyNumberFormat="1" applyFill="1"/>
    <xf numFmtId="170" fontId="0" fillId="11" borderId="0" xfId="0" applyNumberFormat="1" applyFill="1"/>
    <xf numFmtId="169" fontId="9" fillId="0" borderId="0" xfId="0" applyNumberFormat="1" applyFont="1"/>
    <xf numFmtId="0" fontId="9" fillId="0" borderId="0" xfId="0" applyFont="1" applyAlignment="1">
      <alignment horizontal="left" vertical="center" indent="1"/>
    </xf>
    <xf numFmtId="0" fontId="23" fillId="0" borderId="0" xfId="0" applyFont="1"/>
    <xf numFmtId="0" fontId="22" fillId="0" borderId="0" xfId="0" applyFont="1"/>
    <xf numFmtId="0" fontId="0" fillId="0" borderId="0" xfId="0" applyFont="1" applyAlignment="1">
      <alignment horizontal="left" vertical="center" indent="1"/>
    </xf>
    <xf numFmtId="0" fontId="23" fillId="0" borderId="0" xfId="0" applyFont="1" applyFill="1"/>
    <xf numFmtId="0" fontId="12" fillId="0" borderId="0" xfId="0" applyFont="1" applyAlignment="1">
      <alignment vertical="center"/>
    </xf>
    <xf numFmtId="0" fontId="9" fillId="0" borderId="0" xfId="0" applyFont="1" applyAlignment="1">
      <alignment vertical="center"/>
    </xf>
    <xf numFmtId="0" fontId="0" fillId="0" borderId="0" xfId="0" applyFont="1" applyAlignment="1">
      <alignment vertical="center"/>
    </xf>
    <xf numFmtId="0" fontId="24" fillId="0" borderId="0" xfId="0" applyFont="1" applyAlignment="1">
      <alignment vertical="center"/>
    </xf>
    <xf numFmtId="0" fontId="0" fillId="0" borderId="31" xfId="0" applyFont="1" applyBorder="1" applyAlignment="1">
      <alignment horizontal="center"/>
    </xf>
    <xf numFmtId="0" fontId="0" fillId="0" borderId="32" xfId="0" applyFont="1" applyBorder="1" applyAlignment="1">
      <alignment horizontal="center"/>
    </xf>
    <xf numFmtId="0" fontId="9" fillId="0" borderId="33" xfId="0" applyFont="1" applyBorder="1" applyAlignment="1">
      <alignment horizontal="center"/>
    </xf>
    <xf numFmtId="0" fontId="0" fillId="0" borderId="31" xfId="0" applyFont="1" applyBorder="1" applyAlignment="1">
      <alignment horizontal="center" vertical="center" wrapText="1"/>
    </xf>
    <xf numFmtId="0" fontId="0" fillId="0" borderId="31" xfId="0" applyFont="1" applyBorder="1" applyAlignment="1">
      <alignment vertical="center" wrapText="1"/>
    </xf>
    <xf numFmtId="0" fontId="0" fillId="0" borderId="32" xfId="0" applyFont="1" applyBorder="1" applyAlignment="1">
      <alignment horizontal="center" vertical="center" wrapText="1"/>
    </xf>
    <xf numFmtId="0" fontId="0" fillId="0" borderId="32" xfId="0" applyFont="1" applyBorder="1" applyAlignment="1">
      <alignment vertical="center" wrapText="1"/>
    </xf>
    <xf numFmtId="0" fontId="9" fillId="0" borderId="33" xfId="0" applyFont="1" applyBorder="1" applyAlignment="1">
      <alignment horizontal="center" vertical="center" wrapText="1"/>
    </xf>
    <xf numFmtId="0" fontId="9" fillId="0" borderId="34" xfId="0" applyFont="1" applyBorder="1" applyAlignment="1">
      <alignment horizontal="center" vertical="center" wrapText="1"/>
    </xf>
    <xf numFmtId="0" fontId="9" fillId="0" borderId="35" xfId="0" applyFont="1" applyBorder="1" applyAlignment="1">
      <alignment horizontal="center" vertical="center" wrapText="1"/>
    </xf>
    <xf numFmtId="0" fontId="0" fillId="0" borderId="31" xfId="0" applyFont="1" applyBorder="1"/>
    <xf numFmtId="0" fontId="20" fillId="0" borderId="0" xfId="0" applyFont="1" applyBorder="1" applyAlignment="1"/>
    <xf numFmtId="0" fontId="0" fillId="0" borderId="0" xfId="0" applyFont="1" applyBorder="1" applyAlignment="1"/>
    <xf numFmtId="0" fontId="21" fillId="0" borderId="31" xfId="0" applyFont="1" applyBorder="1" applyAlignment="1">
      <alignment vertical="center" wrapText="1"/>
    </xf>
    <xf numFmtId="0" fontId="21" fillId="0" borderId="32" xfId="0" applyFont="1" applyBorder="1" applyAlignment="1">
      <alignment vertical="center" wrapText="1"/>
    </xf>
    <xf numFmtId="0" fontId="0" fillId="0" borderId="32" xfId="0" applyFont="1" applyBorder="1"/>
    <xf numFmtId="0" fontId="22" fillId="0" borderId="35" xfId="0" applyFont="1" applyBorder="1"/>
    <xf numFmtId="0" fontId="20" fillId="0" borderId="32" xfId="0" applyFont="1" applyBorder="1" applyAlignment="1">
      <alignment vertical="center" wrapText="1"/>
    </xf>
    <xf numFmtId="0" fontId="20" fillId="0" borderId="31" xfId="0" applyFont="1" applyBorder="1" applyAlignment="1">
      <alignment vertical="center" wrapText="1"/>
    </xf>
    <xf numFmtId="0" fontId="0" fillId="0" borderId="31" xfId="0" applyBorder="1" applyAlignment="1">
      <alignment horizontal="center"/>
    </xf>
    <xf numFmtId="0" fontId="9" fillId="13" borderId="31" xfId="0" applyFont="1" applyFill="1" applyBorder="1"/>
    <xf numFmtId="0" fontId="0" fillId="0" borderId="0" xfId="0" applyFill="1" applyAlignment="1">
      <alignment horizontal="right"/>
    </xf>
    <xf numFmtId="0" fontId="9" fillId="0" borderId="0" xfId="0" applyFont="1" applyFill="1"/>
    <xf numFmtId="10" fontId="0" fillId="0" borderId="0" xfId="0" applyNumberFormat="1" applyFill="1" applyBorder="1"/>
    <xf numFmtId="0" fontId="0" fillId="0" borderId="0" xfId="0" applyFill="1" applyBorder="1" applyAlignment="1">
      <alignment horizontal="center"/>
    </xf>
    <xf numFmtId="0" fontId="9" fillId="0" borderId="0" xfId="0" applyFont="1" applyFill="1" applyBorder="1"/>
    <xf numFmtId="4" fontId="0" fillId="0" borderId="0" xfId="0" applyNumberFormat="1" applyFill="1"/>
    <xf numFmtId="165" fontId="0" fillId="0" borderId="0" xfId="0" applyNumberFormat="1" applyFill="1"/>
    <xf numFmtId="0" fontId="25" fillId="0" borderId="0" xfId="0" applyFont="1" applyAlignment="1" applyProtection="1">
      <alignment horizontal="left" vertical="center"/>
      <protection locked="0"/>
    </xf>
    <xf numFmtId="4" fontId="21" fillId="0" borderId="0" xfId="0" applyNumberFormat="1" applyFont="1" applyFill="1"/>
    <xf numFmtId="0" fontId="20" fillId="0" borderId="0" xfId="0" applyFont="1" applyFill="1"/>
    <xf numFmtId="0" fontId="21" fillId="0" borderId="0" xfId="0" applyFont="1" applyFill="1"/>
    <xf numFmtId="165" fontId="21" fillId="0" borderId="0" xfId="0" applyNumberFormat="1" applyFont="1" applyFill="1"/>
    <xf numFmtId="0" fontId="21" fillId="0" borderId="0" xfId="0" applyFont="1" applyAlignment="1">
      <alignment horizontal="center"/>
    </xf>
    <xf numFmtId="2" fontId="21" fillId="0" borderId="0" xfId="0" applyNumberFormat="1" applyFont="1" applyAlignment="1">
      <alignment horizontal="center"/>
    </xf>
    <xf numFmtId="168" fontId="0" fillId="0" borderId="31" xfId="0" applyNumberFormat="1" applyBorder="1"/>
    <xf numFmtId="49" fontId="11" fillId="0" borderId="0" xfId="0" applyNumberFormat="1" applyFont="1"/>
    <xf numFmtId="0" fontId="11" fillId="0" borderId="0" xfId="0" applyFont="1" applyFill="1" applyBorder="1"/>
    <xf numFmtId="3" fontId="21" fillId="0" borderId="0" xfId="0" applyNumberFormat="1" applyFont="1" applyFill="1"/>
    <xf numFmtId="4" fontId="16" fillId="15" borderId="31" xfId="0" applyNumberFormat="1" applyFont="1" applyFill="1" applyBorder="1" applyAlignment="1"/>
    <xf numFmtId="0" fontId="15" fillId="0" borderId="0" xfId="0" applyFont="1" applyAlignment="1"/>
    <xf numFmtId="0" fontId="15" fillId="8" borderId="0" xfId="0" applyFont="1" applyFill="1" applyAlignment="1"/>
    <xf numFmtId="0" fontId="15" fillId="12" borderId="0" xfId="0" applyFont="1" applyFill="1" applyAlignment="1"/>
    <xf numFmtId="44" fontId="0" fillId="0" borderId="31" xfId="0" applyNumberFormat="1" applyBorder="1"/>
    <xf numFmtId="169" fontId="21" fillId="0" borderId="0" xfId="0" applyNumberFormat="1" applyFont="1" applyFill="1"/>
    <xf numFmtId="169" fontId="21" fillId="0" borderId="0" xfId="0" applyNumberFormat="1" applyFont="1"/>
    <xf numFmtId="168" fontId="20" fillId="0" borderId="0" xfId="0" applyNumberFormat="1" applyFont="1"/>
    <xf numFmtId="169" fontId="21" fillId="0" borderId="31" xfId="0" applyNumberFormat="1" applyFont="1" applyBorder="1"/>
    <xf numFmtId="0" fontId="20" fillId="0" borderId="31" xfId="0" applyFont="1" applyBorder="1"/>
    <xf numFmtId="0" fontId="15" fillId="12" borderId="0" xfId="0" applyFont="1" applyFill="1" applyBorder="1"/>
    <xf numFmtId="169" fontId="16" fillId="15" borderId="31" xfId="0" applyNumberFormat="1" applyFont="1" applyFill="1" applyBorder="1" applyAlignment="1"/>
    <xf numFmtId="4" fontId="16" fillId="15" borderId="31" xfId="0" applyNumberFormat="1" applyFont="1" applyFill="1" applyBorder="1"/>
    <xf numFmtId="0" fontId="16" fillId="12" borderId="0" xfId="0" applyFont="1" applyFill="1"/>
    <xf numFmtId="169" fontId="16" fillId="12" borderId="0" xfId="0" applyNumberFormat="1" applyFont="1" applyFill="1" applyBorder="1" applyAlignment="1"/>
    <xf numFmtId="169" fontId="9" fillId="11" borderId="0" xfId="0" applyNumberFormat="1" applyFont="1" applyFill="1"/>
    <xf numFmtId="0" fontId="21" fillId="0" borderId="36" xfId="0" applyFont="1" applyBorder="1"/>
    <xf numFmtId="0" fontId="21" fillId="0" borderId="37" xfId="0" applyFont="1" applyBorder="1"/>
    <xf numFmtId="0" fontId="21" fillId="0" borderId="38" xfId="0" applyFont="1" applyBorder="1"/>
    <xf numFmtId="0" fontId="21" fillId="0" borderId="39" xfId="0" applyFont="1" applyBorder="1"/>
    <xf numFmtId="0" fontId="21" fillId="0" borderId="40" xfId="0" applyFont="1" applyBorder="1"/>
    <xf numFmtId="0" fontId="21" fillId="0" borderId="41" xfId="0" applyFont="1" applyBorder="1"/>
    <xf numFmtId="0" fontId="21" fillId="0" borderId="42" xfId="0" applyFont="1" applyBorder="1"/>
    <xf numFmtId="0" fontId="21" fillId="0" borderId="43" xfId="0" applyFont="1" applyBorder="1"/>
    <xf numFmtId="0" fontId="0" fillId="0" borderId="44" xfId="0" applyBorder="1"/>
    <xf numFmtId="169" fontId="21" fillId="0" borderId="39" xfId="0" applyNumberFormat="1" applyFont="1" applyBorder="1"/>
    <xf numFmtId="169" fontId="21" fillId="0" borderId="42" xfId="0" applyNumberFormat="1" applyFont="1" applyBorder="1"/>
    <xf numFmtId="0" fontId="21" fillId="0" borderId="44" xfId="0" applyFont="1" applyFill="1" applyBorder="1"/>
    <xf numFmtId="169" fontId="21" fillId="0" borderId="36" xfId="0" applyNumberFormat="1" applyFont="1" applyBorder="1"/>
    <xf numFmtId="0" fontId="0" fillId="0" borderId="38" xfId="0" applyBorder="1"/>
    <xf numFmtId="4" fontId="21" fillId="0" borderId="36" xfId="0" applyNumberFormat="1" applyFont="1" applyBorder="1"/>
    <xf numFmtId="0" fontId="20" fillId="0" borderId="37" xfId="0" applyFont="1" applyBorder="1"/>
    <xf numFmtId="0" fontId="21" fillId="0" borderId="31" xfId="0" applyFont="1" applyBorder="1"/>
    <xf numFmtId="0" fontId="21" fillId="0" borderId="38" xfId="0" applyFont="1" applyFill="1" applyBorder="1"/>
    <xf numFmtId="0" fontId="21" fillId="0" borderId="44" xfId="0" applyFont="1" applyBorder="1"/>
    <xf numFmtId="0" fontId="0" fillId="0" borderId="37" xfId="0" applyBorder="1"/>
    <xf numFmtId="0" fontId="21" fillId="0" borderId="45" xfId="0" applyFont="1" applyFill="1" applyBorder="1"/>
    <xf numFmtId="0" fontId="0" fillId="0" borderId="46" xfId="0" applyBorder="1"/>
    <xf numFmtId="0" fontId="0" fillId="0" borderId="47" xfId="0" applyBorder="1"/>
    <xf numFmtId="169" fontId="21" fillId="0" borderId="48" xfId="0" applyNumberFormat="1" applyFont="1" applyBorder="1"/>
    <xf numFmtId="0" fontId="21" fillId="0" borderId="49" xfId="0" applyFont="1" applyFill="1" applyBorder="1"/>
    <xf numFmtId="0" fontId="21" fillId="0" borderId="50" xfId="0" applyFont="1" applyFill="1" applyBorder="1"/>
    <xf numFmtId="0" fontId="21" fillId="0" borderId="51" xfId="0" applyFont="1" applyFill="1" applyBorder="1"/>
    <xf numFmtId="0" fontId="21" fillId="0" borderId="52" xfId="0" applyFont="1" applyFill="1" applyBorder="1"/>
    <xf numFmtId="0" fontId="0" fillId="0" borderId="18" xfId="0" applyBorder="1"/>
    <xf numFmtId="0" fontId="0" fillId="0" borderId="53" xfId="0" applyBorder="1"/>
    <xf numFmtId="169" fontId="21" fillId="0" borderId="54" xfId="0" applyNumberFormat="1" applyFont="1" applyBorder="1"/>
    <xf numFmtId="0" fontId="21" fillId="0" borderId="19" xfId="0" applyFont="1" applyFill="1" applyBorder="1"/>
    <xf numFmtId="0" fontId="16" fillId="0" borderId="0" xfId="0" applyFont="1"/>
    <xf numFmtId="4" fontId="16" fillId="0" borderId="0" xfId="0" applyNumberFormat="1" applyFont="1" applyFill="1" applyBorder="1"/>
    <xf numFmtId="0" fontId="0" fillId="8" borderId="0" xfId="0" applyFont="1" applyFill="1"/>
    <xf numFmtId="0" fontId="0" fillId="0" borderId="0" xfId="0" applyFont="1" applyAlignment="1">
      <alignment horizontal="right"/>
    </xf>
    <xf numFmtId="0" fontId="0" fillId="0" borderId="0" xfId="0" applyFont="1" applyFill="1" applyBorder="1"/>
    <xf numFmtId="0" fontId="16" fillId="12" borderId="0" xfId="0" applyFont="1" applyFill="1" applyAlignment="1"/>
    <xf numFmtId="2" fontId="15" fillId="12" borderId="0" xfId="0" applyNumberFormat="1" applyFont="1" applyFill="1" applyBorder="1"/>
    <xf numFmtId="4" fontId="15" fillId="12" borderId="0" xfId="0" applyNumberFormat="1" applyFont="1" applyFill="1" applyBorder="1"/>
    <xf numFmtId="0" fontId="15" fillId="8" borderId="0" xfId="0" applyFont="1" applyFill="1" applyBorder="1"/>
    <xf numFmtId="49" fontId="16" fillId="12" borderId="0" xfId="0" applyNumberFormat="1" applyFont="1" applyFill="1"/>
    <xf numFmtId="169" fontId="15" fillId="12" borderId="0" xfId="0" applyNumberFormat="1" applyFont="1" applyFill="1" applyBorder="1" applyAlignment="1"/>
    <xf numFmtId="0" fontId="26" fillId="13" borderId="55" xfId="0" applyFont="1" applyFill="1" applyBorder="1" applyAlignment="1">
      <alignment horizontal="left"/>
    </xf>
    <xf numFmtId="0" fontId="27" fillId="13" borderId="23" xfId="0" applyFont="1" applyFill="1" applyBorder="1"/>
    <xf numFmtId="0" fontId="0" fillId="13" borderId="49" xfId="0" applyFont="1" applyFill="1" applyBorder="1"/>
    <xf numFmtId="0" fontId="0" fillId="13" borderId="56" xfId="0" applyFont="1" applyFill="1" applyBorder="1"/>
    <xf numFmtId="0" fontId="0" fillId="13" borderId="19" xfId="0" applyFont="1" applyFill="1" applyBorder="1"/>
    <xf numFmtId="4" fontId="21" fillId="0" borderId="3" xfId="0" applyNumberFormat="1" applyFont="1" applyBorder="1" applyAlignment="1">
      <alignment horizontal="center" vertical="center"/>
    </xf>
    <xf numFmtId="0" fontId="21" fillId="0" borderId="0" xfId="0" applyFont="1" applyAlignment="1">
      <alignment horizontal="left" vertical="center"/>
    </xf>
    <xf numFmtId="4" fontId="21" fillId="0" borderId="0" xfId="0" applyNumberFormat="1" applyFont="1" applyAlignment="1">
      <alignment horizontal="center" vertical="center"/>
    </xf>
    <xf numFmtId="0" fontId="21" fillId="0" borderId="0" xfId="0" applyFont="1" applyAlignment="1">
      <alignment horizontal="center" vertical="center"/>
    </xf>
    <xf numFmtId="0" fontId="0" fillId="13" borderId="0" xfId="0" applyFont="1" applyFill="1" applyBorder="1"/>
    <xf numFmtId="0" fontId="0" fillId="13" borderId="23" xfId="0" applyFont="1" applyFill="1" applyBorder="1"/>
    <xf numFmtId="0" fontId="0" fillId="13" borderId="18" xfId="0" applyFont="1" applyFill="1" applyBorder="1"/>
    <xf numFmtId="0" fontId="0" fillId="0" borderId="0" xfId="0" applyBorder="1" applyAlignment="1">
      <alignment wrapText="1"/>
    </xf>
    <xf numFmtId="4" fontId="0" fillId="0" borderId="0" xfId="0" applyNumberFormat="1" applyFont="1" applyFill="1" applyBorder="1"/>
    <xf numFmtId="0" fontId="0" fillId="11" borderId="0" xfId="0" applyFont="1" applyFill="1"/>
    <xf numFmtId="0" fontId="12" fillId="11" borderId="0" xfId="0" applyFont="1" applyFill="1"/>
    <xf numFmtId="0" fontId="0" fillId="13" borderId="0" xfId="0" applyFill="1"/>
    <xf numFmtId="0" fontId="0" fillId="14" borderId="0" xfId="0" applyFill="1"/>
    <xf numFmtId="0" fontId="0" fillId="15" borderId="0" xfId="0" applyFill="1"/>
    <xf numFmtId="0" fontId="0" fillId="6" borderId="0" xfId="0" applyFill="1"/>
    <xf numFmtId="0" fontId="0" fillId="16" borderId="0" xfId="0" applyFill="1"/>
    <xf numFmtId="0" fontId="0" fillId="9" borderId="0" xfId="0" applyFill="1"/>
    <xf numFmtId="0" fontId="9" fillId="9" borderId="0" xfId="0" applyFont="1" applyFill="1"/>
    <xf numFmtId="0" fontId="9" fillId="16" borderId="0" xfId="0" applyFont="1" applyFill="1"/>
    <xf numFmtId="0" fontId="9" fillId="6" borderId="0" xfId="0" applyFont="1" applyFill="1"/>
    <xf numFmtId="0" fontId="9" fillId="15" borderId="0" xfId="0" applyFont="1" applyFill="1"/>
    <xf numFmtId="0" fontId="9" fillId="14" borderId="0" xfId="0" applyFont="1" applyFill="1"/>
    <xf numFmtId="0" fontId="0" fillId="17" borderId="0" xfId="0" applyFill="1"/>
    <xf numFmtId="0" fontId="9" fillId="17" borderId="0" xfId="0" applyFont="1" applyFill="1"/>
    <xf numFmtId="14" fontId="0" fillId="0" borderId="0" xfId="0" applyNumberFormat="1"/>
    <xf numFmtId="0" fontId="0" fillId="18" borderId="0" xfId="0" applyFill="1"/>
    <xf numFmtId="0" fontId="0" fillId="11" borderId="0" xfId="0" applyFill="1"/>
    <xf numFmtId="0" fontId="9" fillId="2" borderId="0" xfId="0" applyFont="1" applyFill="1"/>
    <xf numFmtId="44" fontId="0" fillId="0" borderId="0" xfId="0" applyNumberFormat="1"/>
    <xf numFmtId="0" fontId="9" fillId="18" borderId="0" xfId="0" applyFont="1" applyFill="1"/>
    <xf numFmtId="0" fontId="15" fillId="13" borderId="31" xfId="0" applyFont="1" applyFill="1" applyBorder="1" applyAlignment="1" applyProtection="1">
      <alignment horizontal="right"/>
      <protection locked="0"/>
    </xf>
    <xf numFmtId="0" fontId="15" fillId="13" borderId="31" xfId="0" applyFont="1" applyFill="1" applyBorder="1" applyProtection="1">
      <protection locked="0"/>
    </xf>
    <xf numFmtId="1" fontId="15" fillId="13" borderId="31" xfId="0" applyNumberFormat="1" applyFont="1" applyFill="1" applyBorder="1" applyProtection="1">
      <protection locked="0"/>
    </xf>
    <xf numFmtId="4" fontId="0" fillId="13" borderId="31" xfId="0" applyNumberFormat="1" applyFill="1" applyBorder="1" applyAlignment="1" applyProtection="1">
      <alignment horizontal="right"/>
      <protection locked="0"/>
    </xf>
    <xf numFmtId="2" fontId="15" fillId="13" borderId="31" xfId="0" applyNumberFormat="1" applyFont="1" applyFill="1" applyBorder="1" applyProtection="1">
      <protection locked="0"/>
    </xf>
    <xf numFmtId="1" fontId="15" fillId="14" borderId="31" xfId="0" applyNumberFormat="1" applyFont="1" applyFill="1" applyBorder="1" applyAlignment="1" applyProtection="1">
      <protection locked="0"/>
    </xf>
    <xf numFmtId="164" fontId="15" fillId="14" borderId="31" xfId="0" applyNumberFormat="1" applyFont="1" applyFill="1" applyBorder="1" applyAlignment="1" applyProtection="1">
      <protection locked="0"/>
    </xf>
    <xf numFmtId="169" fontId="15" fillId="14" borderId="31" xfId="0" applyNumberFormat="1" applyFont="1" applyFill="1" applyBorder="1" applyAlignment="1" applyProtection="1">
      <protection locked="0"/>
    </xf>
    <xf numFmtId="4" fontId="15" fillId="14" borderId="31" xfId="0" applyNumberFormat="1" applyFont="1" applyFill="1" applyBorder="1" applyAlignment="1" applyProtection="1">
      <protection locked="0"/>
    </xf>
    <xf numFmtId="3" fontId="15" fillId="14" borderId="31" xfId="0" applyNumberFormat="1" applyFont="1" applyFill="1" applyBorder="1" applyAlignment="1" applyProtection="1">
      <protection locked="0"/>
    </xf>
    <xf numFmtId="0" fontId="22" fillId="0" borderId="0" xfId="0" applyFont="1" applyBorder="1"/>
    <xf numFmtId="4" fontId="9" fillId="2" borderId="31" xfId="0" applyNumberFormat="1" applyFont="1" applyFill="1" applyBorder="1" applyProtection="1">
      <protection locked="0"/>
    </xf>
    <xf numFmtId="0" fontId="0" fillId="2" borderId="31" xfId="0" applyFont="1" applyFill="1" applyBorder="1" applyProtection="1">
      <protection locked="0"/>
    </xf>
    <xf numFmtId="3" fontId="0" fillId="2" borderId="31" xfId="0" applyNumberFormat="1" applyFont="1" applyFill="1" applyBorder="1" applyProtection="1">
      <protection locked="0"/>
    </xf>
    <xf numFmtId="4" fontId="0" fillId="2" borderId="31" xfId="0" applyNumberFormat="1" applyFont="1" applyFill="1" applyBorder="1" applyProtection="1">
      <protection locked="0"/>
    </xf>
    <xf numFmtId="0" fontId="0" fillId="0" borderId="0" xfId="0" applyAlignment="1">
      <alignment horizontal="center"/>
    </xf>
    <xf numFmtId="0" fontId="14" fillId="0" borderId="5" xfId="0" applyFont="1" applyFill="1" applyBorder="1" applyAlignment="1" applyProtection="1">
      <alignment horizontal="center" vertical="center"/>
    </xf>
    <xf numFmtId="49" fontId="16" fillId="0" borderId="0" xfId="0" applyNumberFormat="1" applyFont="1" applyFill="1"/>
    <xf numFmtId="0" fontId="16" fillId="14" borderId="0" xfId="0" applyFont="1" applyFill="1"/>
    <xf numFmtId="0" fontId="15" fillId="15" borderId="0" xfId="0" applyFont="1" applyFill="1"/>
    <xf numFmtId="4" fontId="15" fillId="14" borderId="31" xfId="0" applyNumberFormat="1" applyFont="1" applyFill="1" applyBorder="1"/>
    <xf numFmtId="1" fontId="15" fillId="14" borderId="31" xfId="0" applyNumberFormat="1" applyFont="1" applyFill="1" applyBorder="1"/>
    <xf numFmtId="44" fontId="0" fillId="0" borderId="0" xfId="0" applyNumberFormat="1" applyBorder="1"/>
    <xf numFmtId="169" fontId="21" fillId="0" borderId="0" xfId="0" applyNumberFormat="1" applyFont="1" applyBorder="1"/>
    <xf numFmtId="0" fontId="20" fillId="0" borderId="0" xfId="0" applyFont="1" applyBorder="1"/>
    <xf numFmtId="0" fontId="0" fillId="0" borderId="0" xfId="0" applyAlignment="1">
      <alignment wrapText="1"/>
    </xf>
    <xf numFmtId="0" fontId="0" fillId="0" borderId="0" xfId="0" applyFont="1" applyAlignment="1">
      <alignment wrapText="1"/>
    </xf>
    <xf numFmtId="0" fontId="27" fillId="13" borderId="0" xfId="0" applyFont="1" applyFill="1" applyBorder="1" applyAlignment="1"/>
    <xf numFmtId="0" fontId="27" fillId="13" borderId="6" xfId="0" applyFont="1" applyFill="1" applyBorder="1" applyAlignment="1"/>
    <xf numFmtId="0" fontId="0" fillId="13" borderId="6" xfId="0" applyFont="1" applyFill="1" applyBorder="1"/>
    <xf numFmtId="0" fontId="0" fillId="13" borderId="52" xfId="0" applyFont="1" applyFill="1" applyBorder="1"/>
    <xf numFmtId="4" fontId="9" fillId="0" borderId="0" xfId="0" applyNumberFormat="1" applyFont="1" applyFill="1" applyBorder="1" applyProtection="1">
      <protection locked="0"/>
    </xf>
    <xf numFmtId="2" fontId="0" fillId="11" borderId="0" xfId="0" applyNumberFormat="1" applyFill="1"/>
    <xf numFmtId="170" fontId="0" fillId="0" borderId="31" xfId="0" applyNumberFormat="1" applyBorder="1"/>
    <xf numFmtId="9" fontId="0" fillId="0" borderId="31" xfId="0" applyNumberFormat="1" applyBorder="1"/>
    <xf numFmtId="4" fontId="9" fillId="0" borderId="31" xfId="0" applyNumberFormat="1" applyFont="1" applyFill="1" applyBorder="1" applyProtection="1">
      <protection locked="0"/>
    </xf>
    <xf numFmtId="0" fontId="0" fillId="0" borderId="31" xfId="0" applyFont="1" applyFill="1" applyBorder="1" applyProtection="1">
      <protection locked="0"/>
    </xf>
    <xf numFmtId="3" fontId="0" fillId="0" borderId="31" xfId="0" applyNumberFormat="1" applyFont="1" applyFill="1" applyBorder="1" applyProtection="1">
      <protection locked="0"/>
    </xf>
    <xf numFmtId="4" fontId="0" fillId="0" borderId="31" xfId="0" applyNumberFormat="1" applyFont="1" applyFill="1" applyBorder="1" applyProtection="1">
      <protection locked="0"/>
    </xf>
    <xf numFmtId="4" fontId="9" fillId="0" borderId="31" xfId="0" applyNumberFormat="1" applyFont="1" applyFill="1" applyBorder="1" applyAlignment="1" applyProtection="1">
      <protection locked="0"/>
    </xf>
    <xf numFmtId="0" fontId="0" fillId="0" borderId="0" xfId="0" applyAlignment="1">
      <alignment wrapText="1"/>
    </xf>
    <xf numFmtId="0" fontId="0" fillId="0" borderId="0" xfId="0" applyAlignment="1">
      <alignment vertical="top" wrapText="1"/>
    </xf>
    <xf numFmtId="0" fontId="28" fillId="0" borderId="0" xfId="0" applyFont="1" applyAlignment="1">
      <alignment horizontal="center"/>
    </xf>
    <xf numFmtId="49" fontId="16" fillId="13" borderId="36" xfId="0" applyNumberFormat="1" applyFont="1" applyFill="1" applyBorder="1" applyAlignment="1">
      <alignment wrapText="1"/>
    </xf>
    <xf numFmtId="0" fontId="0" fillId="13" borderId="37" xfId="0" applyFill="1" applyBorder="1" applyAlignment="1">
      <alignment wrapText="1"/>
    </xf>
    <xf numFmtId="0" fontId="0" fillId="13" borderId="38" xfId="0" applyFill="1" applyBorder="1" applyAlignment="1">
      <alignment wrapText="1"/>
    </xf>
    <xf numFmtId="0" fontId="0" fillId="0" borderId="0" xfId="0" applyBorder="1" applyAlignment="1">
      <alignment vertical="center" wrapText="1"/>
    </xf>
    <xf numFmtId="0" fontId="0" fillId="0" borderId="0" xfId="0" applyBorder="1" applyAlignment="1"/>
    <xf numFmtId="0" fontId="22" fillId="0" borderId="0" xfId="0" applyFont="1" applyAlignment="1">
      <alignment wrapText="1"/>
    </xf>
    <xf numFmtId="0" fontId="0" fillId="0" borderId="0" xfId="0" applyAlignment="1"/>
    <xf numFmtId="0" fontId="22" fillId="0" borderId="0" xfId="0" applyFont="1" applyAlignment="1">
      <alignment horizontal="left" vertical="center" wrapText="1"/>
    </xf>
    <xf numFmtId="0" fontId="0" fillId="0" borderId="0" xfId="0" applyAlignment="1">
      <alignment horizontal="left" vertical="center"/>
    </xf>
    <xf numFmtId="0" fontId="0" fillId="0" borderId="0" xfId="0" applyFont="1" applyAlignment="1">
      <alignment wrapText="1"/>
    </xf>
    <xf numFmtId="0" fontId="0" fillId="0" borderId="0" xfId="0" applyFont="1" applyAlignment="1"/>
    <xf numFmtId="0" fontId="10" fillId="0" borderId="31" xfId="1" applyBorder="1" applyAlignment="1">
      <alignment vertical="center" wrapText="1"/>
    </xf>
    <xf numFmtId="0" fontId="10" fillId="0" borderId="31" xfId="1" applyBorder="1" applyAlignment="1"/>
    <xf numFmtId="0" fontId="20" fillId="0" borderId="31" xfId="0" applyFont="1" applyBorder="1" applyAlignment="1">
      <alignment vertical="center" wrapText="1"/>
    </xf>
    <xf numFmtId="0" fontId="20" fillId="0" borderId="31" xfId="0" applyFont="1" applyBorder="1" applyAlignment="1"/>
    <xf numFmtId="0" fontId="9" fillId="0" borderId="33" xfId="0" applyFont="1" applyBorder="1" applyAlignment="1">
      <alignment horizontal="center" vertical="center" wrapText="1"/>
    </xf>
    <xf numFmtId="0" fontId="0" fillId="0" borderId="34" xfId="0" applyBorder="1" applyAlignment="1"/>
    <xf numFmtId="0" fontId="20" fillId="0" borderId="32" xfId="0" applyFont="1" applyBorder="1" applyAlignment="1">
      <alignment vertical="center" wrapText="1"/>
    </xf>
    <xf numFmtId="0" fontId="20" fillId="0" borderId="32" xfId="0" applyFont="1" applyBorder="1" applyAlignment="1"/>
    <xf numFmtId="0" fontId="9" fillId="0" borderId="34" xfId="0" applyFont="1" applyBorder="1" applyAlignment="1">
      <alignment horizontal="center" vertical="center" wrapText="1"/>
    </xf>
    <xf numFmtId="0" fontId="0" fillId="0" borderId="35" xfId="0" applyBorder="1" applyAlignment="1"/>
    <xf numFmtId="0" fontId="0" fillId="0" borderId="31" xfId="0" applyFont="1" applyBorder="1" applyAlignment="1">
      <alignment horizontal="center"/>
    </xf>
    <xf numFmtId="10" fontId="0" fillId="0" borderId="31" xfId="0" applyNumberFormat="1" applyFont="1" applyBorder="1" applyAlignment="1">
      <alignment horizontal="center"/>
    </xf>
    <xf numFmtId="0" fontId="0" fillId="0" borderId="31" xfId="0" applyFont="1" applyBorder="1" applyAlignment="1">
      <alignment horizontal="center" wrapText="1"/>
    </xf>
    <xf numFmtId="0" fontId="10" fillId="0" borderId="32" xfId="1" applyBorder="1" applyAlignment="1">
      <alignment vertical="center" wrapText="1"/>
    </xf>
    <xf numFmtId="0" fontId="10" fillId="0" borderId="32" xfId="1" applyBorder="1" applyAlignment="1"/>
    <xf numFmtId="0" fontId="16" fillId="0" borderId="33" xfId="0" applyFont="1" applyBorder="1" applyAlignment="1">
      <alignment horizontal="center"/>
    </xf>
    <xf numFmtId="0" fontId="0" fillId="0" borderId="34" xfId="0" applyBorder="1" applyAlignment="1">
      <alignment horizontal="center"/>
    </xf>
    <xf numFmtId="0" fontId="0" fillId="0" borderId="35" xfId="0" applyBorder="1" applyAlignment="1">
      <alignment horizontal="center"/>
    </xf>
    <xf numFmtId="0" fontId="9" fillId="0" borderId="0" xfId="0" applyFont="1" applyAlignment="1">
      <alignment wrapText="1"/>
    </xf>
    <xf numFmtId="0" fontId="9" fillId="0" borderId="34" xfId="0" applyFont="1" applyBorder="1" applyAlignment="1">
      <alignment horizontal="center"/>
    </xf>
    <xf numFmtId="0" fontId="0" fillId="0" borderId="32" xfId="0" applyFont="1" applyBorder="1" applyAlignment="1">
      <alignment horizontal="center"/>
    </xf>
    <xf numFmtId="10" fontId="0" fillId="0" borderId="32" xfId="0" applyNumberFormat="1" applyFont="1" applyBorder="1" applyAlignment="1">
      <alignment horizontal="center"/>
    </xf>
    <xf numFmtId="0" fontId="9" fillId="0" borderId="35" xfId="0" applyFont="1" applyBorder="1" applyAlignment="1">
      <alignment horizontal="center"/>
    </xf>
    <xf numFmtId="0" fontId="29" fillId="0" borderId="31" xfId="0" applyFont="1" applyBorder="1" applyAlignment="1"/>
    <xf numFmtId="0" fontId="13" fillId="0" borderId="32" xfId="0" applyFont="1" applyBorder="1" applyAlignment="1"/>
    <xf numFmtId="0" fontId="0" fillId="0" borderId="32" xfId="0" applyBorder="1" applyAlignment="1"/>
    <xf numFmtId="0" fontId="13" fillId="0" borderId="31" xfId="0" applyFont="1" applyBorder="1" applyAlignment="1"/>
    <xf numFmtId="0" fontId="0" fillId="0" borderId="31" xfId="0" applyBorder="1" applyAlignment="1"/>
    <xf numFmtId="0" fontId="29" fillId="0" borderId="32" xfId="0" applyFont="1" applyBorder="1" applyAlignment="1"/>
    <xf numFmtId="0" fontId="19" fillId="11" borderId="0" xfId="0" applyFont="1" applyFill="1" applyAlignment="1"/>
    <xf numFmtId="0" fontId="0" fillId="0" borderId="0" xfId="0" applyFont="1" applyBorder="1" applyAlignment="1"/>
    <xf numFmtId="0" fontId="21" fillId="0" borderId="32" xfId="0" applyFont="1" applyBorder="1" applyAlignment="1">
      <alignment horizontal="center" vertical="center" wrapText="1"/>
    </xf>
    <xf numFmtId="0" fontId="20" fillId="0" borderId="32" xfId="0" applyFont="1" applyBorder="1" applyAlignment="1">
      <alignment horizontal="center"/>
    </xf>
    <xf numFmtId="0" fontId="21" fillId="0" borderId="31" xfId="0" applyFont="1" applyBorder="1" applyAlignment="1">
      <alignment horizontal="center" vertical="center" wrapText="1"/>
    </xf>
    <xf numFmtId="0" fontId="20" fillId="0" borderId="31" xfId="0" applyFont="1" applyBorder="1" applyAlignment="1">
      <alignment horizontal="center"/>
    </xf>
    <xf numFmtId="0" fontId="12" fillId="0" borderId="0" xfId="0" applyFont="1" applyAlignment="1"/>
    <xf numFmtId="10" fontId="0" fillId="0" borderId="32" xfId="0" applyNumberFormat="1" applyFont="1" applyBorder="1" applyAlignment="1">
      <alignment horizontal="center" vertical="center" wrapText="1"/>
    </xf>
    <xf numFmtId="0" fontId="0" fillId="0" borderId="32" xfId="0" applyNumberFormat="1" applyBorder="1" applyAlignment="1">
      <alignment horizontal="center"/>
    </xf>
    <xf numFmtId="10" fontId="0" fillId="0" borderId="31" xfId="0" applyNumberFormat="1" applyFont="1" applyBorder="1" applyAlignment="1">
      <alignment horizontal="center" vertical="center" wrapText="1"/>
    </xf>
    <xf numFmtId="0" fontId="0" fillId="0" borderId="31" xfId="0" applyNumberFormat="1" applyBorder="1" applyAlignment="1">
      <alignment horizontal="center"/>
    </xf>
    <xf numFmtId="0" fontId="0" fillId="0" borderId="31" xfId="0" applyBorder="1" applyAlignment="1">
      <alignment horizontal="center"/>
    </xf>
    <xf numFmtId="0" fontId="0" fillId="0" borderId="32" xfId="0" applyFont="1" applyBorder="1" applyAlignment="1">
      <alignment horizontal="center" vertical="center" wrapText="1"/>
    </xf>
    <xf numFmtId="0" fontId="0" fillId="0" borderId="32" xfId="0" applyBorder="1" applyAlignment="1">
      <alignment horizontal="center"/>
    </xf>
    <xf numFmtId="0" fontId="0" fillId="0" borderId="31" xfId="0" applyFont="1"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0" fontId="0" fillId="0" borderId="31" xfId="0" applyBorder="1" applyAlignment="1">
      <alignment horizontal="center" wrapText="1"/>
    </xf>
    <xf numFmtId="0" fontId="21" fillId="0" borderId="31" xfId="0" applyFont="1" applyBorder="1" applyAlignment="1">
      <alignment horizontal="center"/>
    </xf>
    <xf numFmtId="0" fontId="21" fillId="0" borderId="32" xfId="0" applyFont="1" applyBorder="1" applyAlignment="1">
      <alignment horizontal="center"/>
    </xf>
    <xf numFmtId="0" fontId="12" fillId="0" borderId="57" xfId="0" applyFont="1" applyBorder="1" applyAlignment="1"/>
    <xf numFmtId="0" fontId="0" fillId="0" borderId="58" xfId="0" applyBorder="1" applyAlignment="1"/>
    <xf numFmtId="0" fontId="0" fillId="0" borderId="59" xfId="0" applyBorder="1" applyAlignment="1"/>
    <xf numFmtId="0" fontId="12" fillId="0" borderId="60" xfId="0" applyFont="1" applyBorder="1" applyAlignment="1"/>
    <xf numFmtId="0" fontId="0" fillId="0" borderId="61" xfId="0" applyBorder="1" applyAlignment="1"/>
    <xf numFmtId="0" fontId="21" fillId="0" borderId="31" xfId="0" applyFont="1" applyBorder="1" applyAlignment="1">
      <alignment horizontal="center" vertical="top"/>
    </xf>
    <xf numFmtId="0" fontId="0" fillId="0" borderId="31" xfId="0" applyFont="1" applyBorder="1" applyAlignment="1"/>
    <xf numFmtId="0" fontId="0" fillId="0" borderId="32" xfId="0" applyFont="1" applyBorder="1" applyAlignment="1"/>
    <xf numFmtId="0" fontId="9" fillId="0" borderId="33" xfId="0" applyFont="1" applyBorder="1" applyAlignment="1"/>
    <xf numFmtId="0" fontId="9" fillId="0" borderId="34" xfId="0" applyFont="1" applyBorder="1" applyAlignment="1"/>
    <xf numFmtId="0" fontId="9" fillId="0" borderId="31" xfId="0" applyFont="1" applyBorder="1" applyAlignment="1"/>
    <xf numFmtId="0" fontId="10" fillId="0" borderId="36" xfId="1" applyBorder="1" applyAlignment="1"/>
    <xf numFmtId="0" fontId="0" fillId="0" borderId="37" xfId="0" applyBorder="1" applyAlignment="1"/>
    <xf numFmtId="0" fontId="0" fillId="0" borderId="38" xfId="0" applyBorder="1" applyAlignment="1"/>
    <xf numFmtId="0" fontId="9" fillId="0" borderId="35" xfId="0" applyFont="1" applyBorder="1" applyAlignment="1"/>
    <xf numFmtId="0" fontId="0" fillId="0" borderId="36" xfId="0" applyFill="1" applyBorder="1"/>
    <xf numFmtId="0" fontId="0" fillId="0" borderId="37" xfId="0" applyFill="1" applyBorder="1"/>
    <xf numFmtId="0" fontId="0" fillId="0" borderId="38" xfId="0" applyFill="1" applyBorder="1"/>
    <xf numFmtId="0" fontId="9" fillId="13" borderId="0" xfId="0" applyFont="1" applyFill="1" applyAlignment="1">
      <alignment horizontal="center"/>
    </xf>
    <xf numFmtId="0" fontId="9" fillId="2" borderId="31" xfId="0" applyFont="1" applyFill="1" applyBorder="1" applyAlignment="1" applyProtection="1">
      <alignment horizontal="center"/>
      <protection locked="0"/>
    </xf>
    <xf numFmtId="0" fontId="27" fillId="13" borderId="6" xfId="0" applyFont="1" applyFill="1" applyBorder="1" applyAlignment="1">
      <alignment horizontal="left" wrapText="1"/>
    </xf>
    <xf numFmtId="0" fontId="27" fillId="13" borderId="0" xfId="0" applyFont="1" applyFill="1" applyBorder="1" applyAlignment="1">
      <alignment horizontal="left" wrapText="1"/>
    </xf>
    <xf numFmtId="0" fontId="0" fillId="0" borderId="0" xfId="0" applyFont="1" applyAlignment="1">
      <alignment horizontal="right" wrapText="1"/>
    </xf>
    <xf numFmtId="0" fontId="0" fillId="0" borderId="62" xfId="0" applyFont="1" applyBorder="1" applyAlignment="1">
      <alignment horizontal="right" wrapText="1"/>
    </xf>
    <xf numFmtId="0" fontId="0" fillId="0" borderId="62" xfId="0" applyBorder="1" applyAlignment="1">
      <alignment wrapText="1"/>
    </xf>
    <xf numFmtId="0" fontId="21" fillId="0" borderId="0" xfId="0" applyFont="1" applyAlignment="1"/>
    <xf numFmtId="0" fontId="21" fillId="0" borderId="0" xfId="0" applyFont="1" applyBorder="1" applyAlignment="1"/>
    <xf numFmtId="0" fontId="21" fillId="0" borderId="0" xfId="0" applyFont="1" applyAlignment="1">
      <alignment wrapText="1"/>
    </xf>
    <xf numFmtId="0" fontId="21" fillId="0" borderId="0" xfId="0" applyFont="1" applyBorder="1" applyAlignment="1">
      <alignment wrapText="1"/>
    </xf>
    <xf numFmtId="0" fontId="6" fillId="6" borderId="12" xfId="0" applyFont="1" applyFill="1" applyBorder="1" applyAlignment="1" applyProtection="1">
      <alignment horizontal="center" vertical="center" wrapText="1"/>
      <protection locked="0"/>
    </xf>
    <xf numFmtId="0" fontId="6" fillId="6" borderId="16" xfId="0" applyFont="1" applyFill="1" applyBorder="1" applyAlignment="1" applyProtection="1">
      <alignment horizontal="center" vertical="center" wrapText="1"/>
      <protection locked="0"/>
    </xf>
    <xf numFmtId="0" fontId="14" fillId="0" borderId="63" xfId="0" applyFont="1" applyBorder="1" applyAlignment="1" applyProtection="1">
      <alignment horizontal="center" vertical="center" textRotation="90"/>
      <protection locked="0"/>
    </xf>
    <xf numFmtId="0" fontId="14" fillId="0" borderId="5" xfId="0" applyFont="1" applyBorder="1" applyAlignment="1" applyProtection="1">
      <alignment horizontal="center" vertical="center" textRotation="90"/>
      <protection locked="0"/>
    </xf>
    <xf numFmtId="0" fontId="14" fillId="0" borderId="64" xfId="0" applyFont="1" applyBorder="1" applyAlignment="1" applyProtection="1">
      <alignment horizontal="center" vertical="center" textRotation="90"/>
      <protection locked="0"/>
    </xf>
    <xf numFmtId="0" fontId="14" fillId="0" borderId="0" xfId="0" applyFont="1" applyBorder="1" applyAlignment="1" applyProtection="1">
      <alignment horizontal="center" vertical="center"/>
      <protection locked="0"/>
    </xf>
    <xf numFmtId="0" fontId="14" fillId="0" borderId="0" xfId="0" applyFont="1" applyAlignment="1" applyProtection="1">
      <alignment horizontal="center" vertical="center"/>
      <protection locked="0"/>
    </xf>
    <xf numFmtId="0" fontId="13" fillId="0" borderId="65" xfId="0" applyNumberFormat="1" applyFont="1" applyBorder="1" applyAlignment="1" applyProtection="1">
      <alignment horizontal="center" vertical="center"/>
      <protection locked="0"/>
    </xf>
    <xf numFmtId="0" fontId="13" fillId="0" borderId="22" xfId="0" applyNumberFormat="1" applyFont="1" applyBorder="1" applyAlignment="1" applyProtection="1">
      <alignment horizontal="center" vertical="center"/>
      <protection locked="0"/>
    </xf>
    <xf numFmtId="0" fontId="14" fillId="2" borderId="21" xfId="0" applyFont="1" applyFill="1" applyBorder="1" applyAlignment="1" applyProtection="1">
      <alignment horizontal="center" vertical="center"/>
      <protection locked="0"/>
    </xf>
    <xf numFmtId="0" fontId="14" fillId="2" borderId="24" xfId="0" applyFont="1" applyFill="1" applyBorder="1" applyAlignment="1" applyProtection="1">
      <alignment horizontal="center" vertical="center"/>
      <protection locked="0"/>
    </xf>
    <xf numFmtId="0" fontId="14" fillId="0" borderId="6" xfId="0" applyFont="1" applyBorder="1" applyAlignment="1" applyProtection="1">
      <alignment horizontal="center" vertical="center"/>
      <protection locked="0"/>
    </xf>
    <xf numFmtId="0" fontId="14" fillId="0" borderId="66" xfId="0" applyFont="1" applyBorder="1" applyAlignment="1" applyProtection="1">
      <alignment horizontal="center" vertical="center"/>
      <protection locked="0"/>
    </xf>
    <xf numFmtId="0" fontId="14" fillId="0" borderId="67" xfId="0" applyFont="1" applyBorder="1" applyAlignment="1" applyProtection="1">
      <alignment horizontal="center" vertical="center"/>
      <protection locked="0"/>
    </xf>
    <xf numFmtId="0" fontId="14" fillId="0" borderId="27" xfId="0" applyFont="1" applyBorder="1" applyAlignment="1" applyProtection="1">
      <alignment horizontal="center" vertical="center"/>
      <protection locked="0"/>
    </xf>
    <xf numFmtId="0" fontId="6" fillId="7" borderId="12" xfId="0" applyFont="1" applyFill="1" applyBorder="1" applyAlignment="1" applyProtection="1">
      <alignment horizontal="center" vertical="center" wrapText="1"/>
      <protection locked="0"/>
    </xf>
    <xf numFmtId="0" fontId="6" fillId="7" borderId="16" xfId="0" applyFont="1" applyFill="1" applyBorder="1" applyAlignment="1" applyProtection="1">
      <alignment horizontal="center" vertical="center" wrapText="1"/>
      <protection locked="0"/>
    </xf>
    <xf numFmtId="0" fontId="6" fillId="8" borderId="12" xfId="0" applyFont="1" applyFill="1" applyBorder="1" applyAlignment="1" applyProtection="1">
      <alignment horizontal="center" vertical="center" wrapText="1"/>
      <protection locked="0"/>
    </xf>
    <xf numFmtId="0" fontId="6" fillId="8" borderId="16" xfId="0" applyFont="1" applyFill="1" applyBorder="1" applyAlignment="1" applyProtection="1">
      <alignment horizontal="center" vertical="center" wrapText="1"/>
      <protection locked="0"/>
    </xf>
    <xf numFmtId="0" fontId="14" fillId="0" borderId="68" xfId="0" applyFont="1" applyBorder="1" applyAlignment="1" applyProtection="1">
      <alignment horizontal="center" vertical="center"/>
      <protection locked="0"/>
    </xf>
    <xf numFmtId="0" fontId="14" fillId="0" borderId="69" xfId="0" applyFont="1" applyBorder="1" applyAlignment="1" applyProtection="1">
      <alignment horizontal="center" vertical="center"/>
      <protection locked="0"/>
    </xf>
    <xf numFmtId="0" fontId="14" fillId="0" borderId="52" xfId="0" applyFont="1" applyBorder="1" applyAlignment="1" applyProtection="1">
      <alignment horizontal="center" vertical="center"/>
      <protection locked="0"/>
    </xf>
    <xf numFmtId="0" fontId="14" fillId="0" borderId="70" xfId="0" applyFont="1" applyBorder="1" applyAlignment="1" applyProtection="1">
      <alignment horizontal="center" vertical="center"/>
      <protection locked="0"/>
    </xf>
    <xf numFmtId="0" fontId="14" fillId="0" borderId="71" xfId="0" applyFont="1" applyBorder="1" applyAlignment="1" applyProtection="1">
      <alignment horizontal="center" vertical="center"/>
      <protection locked="0"/>
    </xf>
    <xf numFmtId="0" fontId="14" fillId="0" borderId="21" xfId="0" applyFont="1" applyBorder="1" applyAlignment="1" applyProtection="1">
      <alignment horizontal="center" vertical="center"/>
      <protection locked="0"/>
    </xf>
    <xf numFmtId="0" fontId="14" fillId="0" borderId="12" xfId="0" applyFont="1" applyBorder="1" applyAlignment="1" applyProtection="1">
      <alignment horizontal="center" vertical="center"/>
      <protection locked="0"/>
    </xf>
    <xf numFmtId="0" fontId="14" fillId="0" borderId="16" xfId="0" applyFont="1" applyBorder="1" applyAlignment="1" applyProtection="1">
      <alignment horizontal="center" vertical="center"/>
      <protection locked="0"/>
    </xf>
    <xf numFmtId="0" fontId="14" fillId="0" borderId="16" xfId="0" applyFont="1" applyFill="1" applyBorder="1" applyAlignment="1" applyProtection="1">
      <alignment horizontal="center" vertical="center"/>
      <protection locked="0"/>
    </xf>
    <xf numFmtId="0" fontId="14" fillId="0" borderId="17" xfId="0" applyFont="1" applyFill="1" applyBorder="1" applyAlignment="1" applyProtection="1">
      <alignment horizontal="center" vertical="center"/>
      <protection locked="0"/>
    </xf>
    <xf numFmtId="49" fontId="6" fillId="9" borderId="14" xfId="0" applyNumberFormat="1" applyFont="1" applyFill="1" applyBorder="1" applyAlignment="1" applyProtection="1">
      <alignment horizontal="center" vertical="center"/>
      <protection locked="0"/>
    </xf>
    <xf numFmtId="49" fontId="6" fillId="9" borderId="26" xfId="0" applyNumberFormat="1" applyFont="1" applyFill="1" applyBorder="1" applyAlignment="1" applyProtection="1">
      <alignment horizontal="center" vertical="center"/>
      <protection locked="0"/>
    </xf>
    <xf numFmtId="0" fontId="6" fillId="3" borderId="12" xfId="0" applyFont="1" applyFill="1" applyBorder="1" applyAlignment="1" applyProtection="1">
      <alignment horizontal="center" vertical="center"/>
      <protection locked="0"/>
    </xf>
    <xf numFmtId="0" fontId="6" fillId="3" borderId="16" xfId="0" applyFont="1" applyFill="1" applyBorder="1" applyAlignment="1" applyProtection="1">
      <alignment horizontal="center" vertical="center"/>
      <protection locked="0"/>
    </xf>
    <xf numFmtId="0" fontId="6" fillId="4" borderId="12" xfId="0" applyFont="1" applyFill="1" applyBorder="1" applyAlignment="1" applyProtection="1">
      <alignment horizontal="center" vertical="center" wrapText="1"/>
      <protection locked="0"/>
    </xf>
    <xf numFmtId="0" fontId="6" fillId="4" borderId="16" xfId="0" applyFont="1" applyFill="1" applyBorder="1" applyAlignment="1" applyProtection="1">
      <alignment horizontal="center" vertical="center" wrapText="1"/>
      <protection locked="0"/>
    </xf>
    <xf numFmtId="0" fontId="6" fillId="5" borderId="12" xfId="0" applyFont="1" applyFill="1" applyBorder="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14" fillId="2" borderId="65" xfId="0" applyFont="1" applyFill="1" applyBorder="1" applyAlignment="1" applyProtection="1">
      <alignment horizontal="center" vertical="center"/>
      <protection locked="0"/>
    </xf>
    <xf numFmtId="0" fontId="14" fillId="2" borderId="20" xfId="0" applyFont="1" applyFill="1" applyBorder="1" applyAlignment="1" applyProtection="1">
      <alignment horizontal="center" vertical="center"/>
      <protection locked="0"/>
    </xf>
    <xf numFmtId="0" fontId="13" fillId="0" borderId="68" xfId="0" applyFont="1" applyBorder="1" applyAlignment="1" applyProtection="1">
      <alignment horizontal="center" vertical="center"/>
      <protection locked="0"/>
    </xf>
    <xf numFmtId="0" fontId="13" fillId="0" borderId="69" xfId="0" applyFont="1" applyBorder="1" applyAlignment="1" applyProtection="1">
      <alignment horizontal="center" vertical="center"/>
      <protection locked="0"/>
    </xf>
    <xf numFmtId="0" fontId="13" fillId="0" borderId="0" xfId="0" applyFont="1" applyBorder="1" applyAlignment="1" applyProtection="1">
      <alignment horizontal="left" vertical="center" wrapText="1"/>
      <protection locked="0"/>
    </xf>
    <xf numFmtId="0" fontId="13" fillId="0" borderId="0" xfId="0" applyFont="1" applyBorder="1" applyProtection="1">
      <protection locked="0"/>
    </xf>
    <xf numFmtId="0" fontId="13" fillId="0" borderId="52" xfId="0" applyFont="1" applyBorder="1" applyAlignment="1" applyProtection="1">
      <alignment horizontal="center" vertical="center"/>
      <protection locked="0"/>
    </xf>
    <xf numFmtId="0" fontId="13" fillId="0" borderId="18" xfId="0" applyFont="1" applyBorder="1" applyAlignment="1" applyProtection="1">
      <alignment horizontal="center" vertical="center"/>
      <protection locked="0"/>
    </xf>
    <xf numFmtId="0" fontId="13" fillId="0" borderId="72" xfId="0" applyFont="1" applyBorder="1" applyAlignment="1" applyProtection="1">
      <alignment horizontal="left" vertical="center" wrapText="1"/>
      <protection locked="0"/>
    </xf>
    <xf numFmtId="0" fontId="13" fillId="0" borderId="27" xfId="0" applyFont="1" applyBorder="1" applyAlignment="1" applyProtection="1">
      <alignment horizontal="left" vertical="center" wrapText="1"/>
      <protection locked="0"/>
    </xf>
    <xf numFmtId="0" fontId="12" fillId="11" borderId="0" xfId="0" applyFont="1" applyFill="1" applyAlignment="1"/>
    <xf numFmtId="0" fontId="0" fillId="12" borderId="0" xfId="0" applyFont="1" applyFill="1" applyAlignment="1"/>
  </cellXfs>
  <cellStyles count="2">
    <cellStyle name="Link" xfId="1" builtinId="8"/>
    <cellStyle name="Standard" xfId="0" builtinId="0"/>
  </cellStyles>
  <dxfs count="8">
    <dxf>
      <font>
        <b/>
        <i val="0"/>
        <u/>
      </font>
      <border>
        <left style="thin">
          <color indexed="64"/>
        </left>
        <right style="thin">
          <color indexed="64"/>
        </right>
        <bottom style="thin">
          <color indexed="64"/>
        </bottom>
      </border>
    </dxf>
    <dxf>
      <font>
        <b/>
        <i val="0"/>
        <u/>
      </font>
      <border>
        <left style="thin">
          <color indexed="64"/>
        </left>
        <right style="thin">
          <color indexed="64"/>
        </right>
        <top style="thin">
          <color indexed="64"/>
        </top>
      </border>
    </dxf>
    <dxf>
      <font>
        <b/>
        <i val="0"/>
        <u/>
        <color auto="1"/>
      </font>
      <border>
        <left style="thin">
          <color indexed="64"/>
        </left>
        <right style="thin">
          <color indexed="64"/>
        </right>
        <top style="thin">
          <color indexed="64"/>
        </top>
      </border>
    </dxf>
    <dxf>
      <font>
        <b/>
        <i val="0"/>
      </font>
      <border>
        <left style="thin">
          <color indexed="64"/>
        </left>
        <right style="thin">
          <color indexed="64"/>
        </right>
        <top style="thin">
          <color indexed="64"/>
        </top>
        <bottom style="thin">
          <color indexed="64"/>
        </bottom>
      </border>
    </dxf>
    <dxf>
      <font>
        <b/>
        <i val="0"/>
        <color auto="1"/>
      </font>
      <border>
        <left style="thin">
          <color indexed="64"/>
        </left>
        <right style="thin">
          <color indexed="64"/>
        </right>
        <top style="thin">
          <color indexed="64"/>
        </top>
        <bottom style="thin">
          <color indexed="64"/>
        </bottom>
      </border>
    </dxf>
    <dxf>
      <font>
        <b/>
        <i val="0"/>
      </font>
      <border>
        <left style="thin">
          <color indexed="64"/>
        </left>
        <right style="thin">
          <color indexed="64"/>
        </right>
        <top style="thin">
          <color indexed="64"/>
        </top>
        <bottom style="thin">
          <color indexed="64"/>
        </bottom>
      </border>
    </dxf>
    <dxf>
      <font>
        <b/>
        <i val="0"/>
        <u/>
      </font>
      <border>
        <left style="thin">
          <color indexed="64"/>
        </left>
        <right style="thin">
          <color indexed="64"/>
        </right>
        <top style="thin">
          <color indexed="64"/>
        </top>
        <bottom style="thin">
          <color indexed="64"/>
        </bottom>
      </border>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e-DE"/>
              <a:t>Aufzugskosten</a:t>
            </a:r>
          </a:p>
        </c:rich>
      </c:tx>
      <c:overlay val="0"/>
      <c:spPr>
        <a:noFill/>
        <a:ln w="25400">
          <a:noFill/>
        </a:ln>
      </c:spPr>
    </c:title>
    <c:autoTitleDeleted val="0"/>
    <c:view3D>
      <c:rotX val="15"/>
      <c:rotY val="20"/>
      <c:depthPercent val="100"/>
      <c:rAngAx val="1"/>
    </c:view3D>
    <c:floor>
      <c:thickness val="0"/>
      <c:spPr>
        <a:noFill/>
        <a:ln w="6350">
          <a:noFill/>
        </a:ln>
      </c:spPr>
    </c:floor>
    <c:sideWall>
      <c:thickness val="0"/>
      <c:spPr>
        <a:noFill/>
        <a:ln w="25400">
          <a:noFill/>
        </a:ln>
      </c:spPr>
    </c:sideWall>
    <c:backWall>
      <c:thickness val="0"/>
      <c:spPr>
        <a:noFill/>
        <a:ln w="25400">
          <a:noFill/>
        </a:ln>
      </c:spPr>
    </c:backWall>
    <c:plotArea>
      <c:layout/>
      <c:bar3DChart>
        <c:barDir val="col"/>
        <c:grouping val="clustered"/>
        <c:varyColors val="0"/>
        <c:ser>
          <c:idx val="0"/>
          <c:order val="0"/>
          <c:tx>
            <c:strRef>
              <c:f>Diagramm!$V$2</c:f>
              <c:strCache>
                <c:ptCount val="1"/>
                <c:pt idx="0">
                  <c:v>Jahr </c:v>
                </c:pt>
              </c:strCache>
            </c:strRef>
          </c:tx>
          <c:spPr>
            <a:solidFill>
              <a:srgbClr val="5B9BD5"/>
            </a:solidFill>
            <a:ln w="25400">
              <a:noFill/>
            </a:ln>
          </c:spPr>
          <c:invertIfNegative val="0"/>
          <c:val>
            <c:numRef>
              <c:f>Diagramm!$V$3:$V$17</c:f>
              <c:numCache>
                <c:formatCode>General</c:formatCode>
                <c:ptCount val="1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numCache>
            </c:numRef>
          </c:val>
          <c:extLst>
            <c:ext xmlns:c16="http://schemas.microsoft.com/office/drawing/2014/chart" uri="{C3380CC4-5D6E-409C-BE32-E72D297353CC}">
              <c16:uniqueId val="{00000000-316A-4444-A8EF-C17207189589}"/>
            </c:ext>
          </c:extLst>
        </c:ser>
        <c:ser>
          <c:idx val="1"/>
          <c:order val="1"/>
          <c:tx>
            <c:strRef>
              <c:f>Diagramm!$W$2</c:f>
              <c:strCache>
                <c:ptCount val="1"/>
                <c:pt idx="0">
                  <c:v>Energie</c:v>
                </c:pt>
              </c:strCache>
            </c:strRef>
          </c:tx>
          <c:spPr>
            <a:solidFill>
              <a:srgbClr val="ED7D31"/>
            </a:solidFill>
            <a:ln w="25400">
              <a:noFill/>
            </a:ln>
          </c:spPr>
          <c:invertIfNegative val="0"/>
          <c:val>
            <c:numRef>
              <c:f>Diagramm!$W$3:$W$17</c:f>
              <c:numCache>
                <c:formatCode>#,##0.00</c:formatCode>
                <c:ptCount val="15"/>
                <c:pt idx="0">
                  <c:v>646.92599999999993</c:v>
                </c:pt>
                <c:pt idx="1">
                  <c:v>677.49839999999995</c:v>
                </c:pt>
                <c:pt idx="2">
                  <c:v>717.75059999999996</c:v>
                </c:pt>
                <c:pt idx="3">
                  <c:v>751.90364999999997</c:v>
                </c:pt>
                <c:pt idx="4">
                  <c:v>787.39643249999995</c:v>
                </c:pt>
                <c:pt idx="5">
                  <c:v>824.66385412499994</c:v>
                </c:pt>
                <c:pt idx="6">
                  <c:v>862.21784683124986</c:v>
                </c:pt>
                <c:pt idx="7">
                  <c:v>900.67717917281254</c:v>
                </c:pt>
                <c:pt idx="8">
                  <c:v>943.55607813145298</c:v>
                </c:pt>
                <c:pt idx="9">
                  <c:v>984.38726203802571</c:v>
                </c:pt>
                <c:pt idx="10">
                  <c:v>1029.6733851399272</c:v>
                </c:pt>
                <c:pt idx="11">
                  <c:v>1076.9872943969235</c:v>
                </c:pt>
                <c:pt idx="12">
                  <c:v>1126.4478991167696</c:v>
                </c:pt>
                <c:pt idx="13">
                  <c:v>1180.3700540726081</c:v>
                </c:pt>
                <c:pt idx="14">
                  <c:v>1237.7810967762384</c:v>
                </c:pt>
              </c:numCache>
            </c:numRef>
          </c:val>
          <c:extLst>
            <c:ext xmlns:c16="http://schemas.microsoft.com/office/drawing/2014/chart" uri="{C3380CC4-5D6E-409C-BE32-E72D297353CC}">
              <c16:uniqueId val="{00000001-316A-4444-A8EF-C17207189589}"/>
            </c:ext>
          </c:extLst>
        </c:ser>
        <c:ser>
          <c:idx val="2"/>
          <c:order val="2"/>
          <c:tx>
            <c:strRef>
              <c:f>Diagramm!$X$2</c:f>
              <c:strCache>
                <c:ptCount val="1"/>
                <c:pt idx="0">
                  <c:v>GW</c:v>
                </c:pt>
              </c:strCache>
            </c:strRef>
          </c:tx>
          <c:spPr>
            <a:solidFill>
              <a:srgbClr val="A5A5A5"/>
            </a:solidFill>
            <a:ln w="25400">
              <a:noFill/>
            </a:ln>
          </c:spPr>
          <c:invertIfNegative val="0"/>
          <c:val>
            <c:numRef>
              <c:f>Diagramm!$X$3:$X$17</c:f>
              <c:numCache>
                <c:formatCode>_("€"* #,##0.00_);_("€"* \(#,##0.00\);_("€"* "-"??_);_(@_)</c:formatCode>
                <c:ptCount val="15"/>
                <c:pt idx="0">
                  <c:v>2580</c:v>
                </c:pt>
                <c:pt idx="1">
                  <c:v>2373.1999999999998</c:v>
                </c:pt>
                <c:pt idx="2">
                  <c:v>2744.7186249999995</c:v>
                </c:pt>
                <c:pt idx="3">
                  <c:v>2501.9053699999995</c:v>
                </c:pt>
              </c:numCache>
            </c:numRef>
          </c:val>
          <c:extLst>
            <c:ext xmlns:c16="http://schemas.microsoft.com/office/drawing/2014/chart" uri="{C3380CC4-5D6E-409C-BE32-E72D297353CC}">
              <c16:uniqueId val="{00000002-316A-4444-A8EF-C17207189589}"/>
            </c:ext>
          </c:extLst>
        </c:ser>
        <c:ser>
          <c:idx val="3"/>
          <c:order val="3"/>
          <c:tx>
            <c:strRef>
              <c:f>Diagramm!$Y$2</c:f>
              <c:strCache>
                <c:ptCount val="1"/>
                <c:pt idx="0">
                  <c:v>VW</c:v>
                </c:pt>
              </c:strCache>
            </c:strRef>
          </c:tx>
          <c:spPr>
            <a:solidFill>
              <a:srgbClr val="FFC000"/>
            </a:solidFill>
            <a:ln w="25400">
              <a:noFill/>
            </a:ln>
          </c:spPr>
          <c:invertIfNegative val="0"/>
          <c:val>
            <c:numRef>
              <c:f>Diagramm!$Y$3:$Y$17</c:f>
              <c:numCache>
                <c:formatCode>General</c:formatCode>
                <c:ptCount val="15"/>
                <c:pt idx="4" formatCode="_(&quot;€&quot;* #,##0.00_);_(&quot;€&quot;* \(#,##0.00\);_(&quot;€&quot;* &quot;-&quot;??_);_(@_)">
                  <c:v>3512.4896768000003</c:v>
                </c:pt>
                <c:pt idx="5" formatCode="_(&quot;€&quot;* #,##0.00_);_(&quot;€&quot;* \(#,##0.00\);_(&quot;€&quot;* &quot;-&quot;??_);_(@_)">
                  <c:v>3626.9892638720003</c:v>
                </c:pt>
                <c:pt idx="6" formatCode="_(&quot;€&quot;* #,##0.00_);_(&quot;€&quot;* \(#,##0.00\);_(&quot;€&quot;* &quot;-&quot;??_);_(@_)">
                  <c:v>3745.2888344268799</c:v>
                </c:pt>
                <c:pt idx="7" formatCode="_(&quot;€&quot;* #,##0.00_);_(&quot;€&quot;* \(#,##0.00\);_(&quot;€&quot;* &quot;-&quot;??_);_(@_)">
                  <c:v>3867.5169878039555</c:v>
                </c:pt>
                <c:pt idx="8" formatCode="_(&quot;€&quot;* #,##0.00_);_(&quot;€&quot;* \(#,##0.00\);_(&quot;€&quot;* &quot;-&quot;??_);_(@_)">
                  <c:v>3993.8067653161133</c:v>
                </c:pt>
                <c:pt idx="9" formatCode="_(&quot;€&quot;* #,##0.00_);_(&quot;€&quot;* \(#,##0.00\);_(&quot;€&quot;* &quot;-&quot;??_);_(@_)">
                  <c:v>4124.2958068687585</c:v>
                </c:pt>
                <c:pt idx="10" formatCode="_(&quot;€&quot;* #,##0.00_);_(&quot;€&quot;* \(#,##0.00\);_(&quot;€&quot;* &quot;-&quot;??_);_(@_)">
                  <c:v>4259.1265132117087</c:v>
                </c:pt>
                <c:pt idx="11" formatCode="_(&quot;€&quot;* #,##0.00_);_(&quot;€&quot;* \(#,##0.00\);_(&quot;€&quot;* &quot;-&quot;??_);_(@_)">
                  <c:v>4398.4462140304231</c:v>
                </c:pt>
                <c:pt idx="12" formatCode="_(&quot;€&quot;* #,##0.00_);_(&quot;€&quot;* \(#,##0.00\);_(&quot;€&quot;* &quot;-&quot;??_);_(@_)">
                  <c:v>4542.4073420905934</c:v>
                </c:pt>
                <c:pt idx="13" formatCode="_(&quot;€&quot;* #,##0.00_);_(&quot;€&quot;* \(#,##0.00\);_(&quot;€&quot;* &quot;-&quot;??_);_(@_)">
                  <c:v>4691.1676136581391</c:v>
                </c:pt>
                <c:pt idx="14" formatCode="_(&quot;€&quot;* #,##0.00_);_(&quot;€&quot;* \(#,##0.00\);_(&quot;€&quot;* &quot;-&quot;??_);_(@_)">
                  <c:v>4844.8902154249045</c:v>
                </c:pt>
              </c:numCache>
            </c:numRef>
          </c:val>
          <c:extLst>
            <c:ext xmlns:c16="http://schemas.microsoft.com/office/drawing/2014/chart" uri="{C3380CC4-5D6E-409C-BE32-E72D297353CC}">
              <c16:uniqueId val="{00000003-316A-4444-A8EF-C17207189589}"/>
            </c:ext>
          </c:extLst>
        </c:ser>
        <c:ser>
          <c:idx val="4"/>
          <c:order val="4"/>
          <c:tx>
            <c:strRef>
              <c:f>Diagramm!$Z$2</c:f>
              <c:strCache>
                <c:ptCount val="1"/>
                <c:pt idx="0">
                  <c:v>EW</c:v>
                </c:pt>
              </c:strCache>
            </c:strRef>
          </c:tx>
          <c:spPr>
            <a:solidFill>
              <a:srgbClr val="4472C4"/>
            </a:solidFill>
            <a:ln w="25400">
              <a:noFill/>
            </a:ln>
          </c:spPr>
          <c:invertIfNegative val="0"/>
          <c:val>
            <c:numRef>
              <c:f>Diagramm!$Z$3:$Z$17</c:f>
              <c:numCache>
                <c:formatCode>General</c:formatCode>
                <c:ptCount val="15"/>
                <c:pt idx="4" formatCode="_(&quot;€&quot;* #,##0.00_);_(&quot;€&quot;* \(#,##0.00\);_(&quot;€&quot;* &quot;-&quot;??_);_(@_)">
                  <c:v>3243.8978896906247</c:v>
                </c:pt>
                <c:pt idx="5" formatCode="_(&quot;€&quot;* #,##0.00_);_(&quot;€&quot;* \(#,##0.00\);_(&quot;€&quot;* &quot;-&quot;??_);_(@_)">
                  <c:v>3048.7593275316676</c:v>
                </c:pt>
                <c:pt idx="6" formatCode="_(&quot;€&quot;* #,##0.00_);_(&quot;€&quot;* \(#,##0.00\);_(&quot;€&quot;* &quot;-&quot;??_);_(@_)">
                  <c:v>3436.384588095093</c:v>
                </c:pt>
                <c:pt idx="7" formatCode="_(&quot;€&quot;* #,##0.00_);_(&quot;€&quot;* \(#,##0.00\);_(&quot;€&quot;* &quot;-&quot;??_);_(@_)">
                  <c:v>3232.4977109363936</c:v>
                </c:pt>
                <c:pt idx="8" formatCode="_(&quot;€&quot;* #,##0.00_);_(&quot;€&quot;* \(#,##0.00\);_(&quot;€&quot;* &quot;-&quot;??_);_(@_)">
                  <c:v>3640.9222980137793</c:v>
                </c:pt>
                <c:pt idx="9" formatCode="_(&quot;€&quot;* #,##0.00_);_(&quot;€&quot;* \(#,##0.00\);_(&quot;€&quot;* &quot;-&quot;??_);_(@_)">
                  <c:v>3427.9364773047755</c:v>
                </c:pt>
                <c:pt idx="10" formatCode="_(&quot;€&quot;* #,##0.00_);_(&quot;€&quot;* \(#,##0.00\);_(&quot;€&quot;* &quot;-&quot;??_);_(@_)">
                  <c:v>3858.3093018930426</c:v>
                </c:pt>
                <c:pt idx="11" formatCode="_(&quot;€&quot;* #,##0.00_);_(&quot;€&quot;* \(#,##0.00\);_(&quot;€&quot;* &quot;-&quot;??_);_(@_)">
                  <c:v>3635.863686512339</c:v>
                </c:pt>
                <c:pt idx="12" formatCode="_(&quot;€&quot;* #,##0.00_);_(&quot;€&quot;* \(#,##0.00\);_(&quot;€&quot;* &quot;-&quot;??_);_(@_)">
                  <c:v>4089.3996523471478</c:v>
                </c:pt>
                <c:pt idx="13" formatCode="_(&quot;€&quot;* #,##0.00_);_(&quot;€&quot;* \(#,##0.00\);_(&quot;€&quot;* &quot;-&quot;??_);_(@_)">
                  <c:v>3857.1232653696266</c:v>
                </c:pt>
                <c:pt idx="14" formatCode="_(&quot;€&quot;* #,##0.00_);_(&quot;€&quot;* \(#,##0.00\);_(&quot;€&quot;* &quot;-&quot;??_);_(@_)">
                  <c:v>4335.1072486639268</c:v>
                </c:pt>
              </c:numCache>
            </c:numRef>
          </c:val>
          <c:extLst>
            <c:ext xmlns:c16="http://schemas.microsoft.com/office/drawing/2014/chart" uri="{C3380CC4-5D6E-409C-BE32-E72D297353CC}">
              <c16:uniqueId val="{00000004-316A-4444-A8EF-C17207189589}"/>
            </c:ext>
          </c:extLst>
        </c:ser>
        <c:ser>
          <c:idx val="5"/>
          <c:order val="5"/>
          <c:tx>
            <c:strRef>
              <c:f>Diagramm!$AA$2</c:f>
              <c:strCache>
                <c:ptCount val="1"/>
                <c:pt idx="0">
                  <c:v>Notruf</c:v>
                </c:pt>
              </c:strCache>
            </c:strRef>
          </c:tx>
          <c:spPr>
            <a:solidFill>
              <a:srgbClr val="70AD47"/>
            </a:solidFill>
            <a:ln w="25400">
              <a:noFill/>
            </a:ln>
          </c:spPr>
          <c:invertIfNegative val="0"/>
          <c:val>
            <c:numRef>
              <c:f>Diagramm!$AA$3:$AA$17</c:f>
              <c:numCache>
                <c:formatCode>_("€"* #,##0.00_);_("€"* \(#,##0.00\);_("€"* "-"??_);_(@_)</c:formatCode>
                <c:ptCount val="15"/>
                <c:pt idx="0">
                  <c:v>780</c:v>
                </c:pt>
                <c:pt idx="1">
                  <c:v>811.2</c:v>
                </c:pt>
                <c:pt idx="2">
                  <c:v>843.64800000000014</c:v>
                </c:pt>
                <c:pt idx="3">
                  <c:v>877.39391999999998</c:v>
                </c:pt>
                <c:pt idx="4">
                  <c:v>912.4896768000001</c:v>
                </c:pt>
                <c:pt idx="5">
                  <c:v>948.98926387200027</c:v>
                </c:pt>
                <c:pt idx="6">
                  <c:v>986.94883442688024</c:v>
                </c:pt>
                <c:pt idx="7">
                  <c:v>1026.4267878039554</c:v>
                </c:pt>
                <c:pt idx="8">
                  <c:v>1067.4838593161139</c:v>
                </c:pt>
                <c:pt idx="9">
                  <c:v>1110.1832136887585</c:v>
                </c:pt>
                <c:pt idx="10">
                  <c:v>1154.5905422363089</c:v>
                </c:pt>
                <c:pt idx="11">
                  <c:v>1200.7741639257611</c:v>
                </c:pt>
                <c:pt idx="12">
                  <c:v>1248.8051304827918</c:v>
                </c:pt>
                <c:pt idx="13">
                  <c:v>1298.7573357021033</c:v>
                </c:pt>
                <c:pt idx="14">
                  <c:v>1350.7076291301876</c:v>
                </c:pt>
              </c:numCache>
            </c:numRef>
          </c:val>
          <c:extLst>
            <c:ext xmlns:c16="http://schemas.microsoft.com/office/drawing/2014/chart" uri="{C3380CC4-5D6E-409C-BE32-E72D297353CC}">
              <c16:uniqueId val="{00000005-316A-4444-A8EF-C17207189589}"/>
            </c:ext>
          </c:extLst>
        </c:ser>
        <c:ser>
          <c:idx val="6"/>
          <c:order val="6"/>
          <c:tx>
            <c:strRef>
              <c:f>Diagramm!$AB$2</c:f>
              <c:strCache>
                <c:ptCount val="1"/>
                <c:pt idx="0">
                  <c:v>ZÜS</c:v>
                </c:pt>
              </c:strCache>
            </c:strRef>
          </c:tx>
          <c:spPr>
            <a:solidFill>
              <a:schemeClr val="accent1">
                <a:lumMod val="60000"/>
              </a:schemeClr>
            </a:solidFill>
            <a:ln>
              <a:noFill/>
            </a:ln>
            <a:effectLst/>
            <a:sp3d/>
          </c:spPr>
          <c:invertIfNegative val="0"/>
          <c:val>
            <c:numRef>
              <c:f>Diagramm!$AB$3:$AB$17</c:f>
              <c:numCache>
                <c:formatCode>_("€"* #,##0.00_);_("€"* \(#,##0.00\);_("€"* "-"??_);_(@_)</c:formatCode>
                <c:ptCount val="15"/>
                <c:pt idx="0">
                  <c:v>1000</c:v>
                </c:pt>
                <c:pt idx="1">
                  <c:v>750</c:v>
                </c:pt>
                <c:pt idx="2">
                  <c:v>1076.8906249999998</c:v>
                </c:pt>
                <c:pt idx="3">
                  <c:v>787.96874999999989</c:v>
                </c:pt>
                <c:pt idx="4">
                  <c:v>1131.4082128906246</c:v>
                </c:pt>
                <c:pt idx="5">
                  <c:v>869.77006365966758</c:v>
                </c:pt>
                <c:pt idx="6">
                  <c:v>1188.6857536682126</c:v>
                </c:pt>
                <c:pt idx="7">
                  <c:v>913.80217313243827</c:v>
                </c:pt>
                <c:pt idx="8">
                  <c:v>1248.8629699476655</c:v>
                </c:pt>
                <c:pt idx="9">
                  <c:v>960.06340814726786</c:v>
                </c:pt>
                <c:pt idx="10">
                  <c:v>1312.086657801266</c:v>
                </c:pt>
                <c:pt idx="11">
                  <c:v>1008.6666181847231</c:v>
                </c:pt>
                <c:pt idx="12">
                  <c:v>1378.5110448524549</c:v>
                </c:pt>
                <c:pt idx="13">
                  <c:v>1059.7303657303246</c:v>
                </c:pt>
                <c:pt idx="14">
                  <c:v>1448.2981664981105</c:v>
                </c:pt>
              </c:numCache>
            </c:numRef>
          </c:val>
          <c:extLst>
            <c:ext xmlns:c16="http://schemas.microsoft.com/office/drawing/2014/chart" uri="{C3380CC4-5D6E-409C-BE32-E72D297353CC}">
              <c16:uniqueId val="{00000006-316A-4444-A8EF-C17207189589}"/>
            </c:ext>
          </c:extLst>
        </c:ser>
        <c:ser>
          <c:idx val="7"/>
          <c:order val="7"/>
          <c:tx>
            <c:strRef>
              <c:f>Diagramm!$AC$2</c:f>
              <c:strCache>
                <c:ptCount val="1"/>
                <c:pt idx="0">
                  <c:v>Komp. Seil</c:v>
                </c:pt>
              </c:strCache>
            </c:strRef>
          </c:tx>
          <c:spPr>
            <a:solidFill>
              <a:schemeClr val="accent2">
                <a:lumMod val="60000"/>
              </a:schemeClr>
            </a:solidFill>
            <a:ln>
              <a:noFill/>
            </a:ln>
            <a:effectLst/>
            <a:sp3d/>
          </c:spPr>
          <c:invertIfNegative val="0"/>
          <c:val>
            <c:numRef>
              <c:f>Diagramm!$AC$3:$AC$17</c:f>
              <c:numCache>
                <c:formatCode>_("€"* #,##0.00_);_("€"* \(#,##0.00\);_("€"* "-"??_);_(@_)</c:formatCode>
                <c:ptCount val="15"/>
                <c:pt idx="1">
                  <c:v>312</c:v>
                </c:pt>
                <c:pt idx="2">
                  <c:v>865.28000000000009</c:v>
                </c:pt>
                <c:pt idx="3">
                  <c:v>337.45920000000001</c:v>
                </c:pt>
                <c:pt idx="5">
                  <c:v>2737.4690304000005</c:v>
                </c:pt>
                <c:pt idx="7">
                  <c:v>5526.9134727905293</c:v>
                </c:pt>
                <c:pt idx="8">
                  <c:v>12043.407643566412</c:v>
                </c:pt>
                <c:pt idx="9">
                  <c:v>14660.111667941297</c:v>
                </c:pt>
                <c:pt idx="11">
                  <c:v>8851.8608238117013</c:v>
                </c:pt>
                <c:pt idx="13">
                  <c:v>499.52205219311674</c:v>
                </c:pt>
                <c:pt idx="14">
                  <c:v>1385.3411580822433</c:v>
                </c:pt>
              </c:numCache>
            </c:numRef>
          </c:val>
          <c:extLst>
            <c:ext xmlns:c16="http://schemas.microsoft.com/office/drawing/2014/chart" uri="{C3380CC4-5D6E-409C-BE32-E72D297353CC}">
              <c16:uniqueId val="{00000007-316A-4444-A8EF-C17207189589}"/>
            </c:ext>
          </c:extLst>
        </c:ser>
        <c:ser>
          <c:idx val="8"/>
          <c:order val="8"/>
          <c:tx>
            <c:strRef>
              <c:f>Diagramm!$AD$2</c:f>
              <c:strCache>
                <c:ptCount val="1"/>
                <c:pt idx="0">
                  <c:v>Komp. Hyd.</c:v>
                </c:pt>
              </c:strCache>
            </c:strRef>
          </c:tx>
          <c:spPr>
            <a:solidFill>
              <a:schemeClr val="accent3">
                <a:lumMod val="60000"/>
              </a:schemeClr>
            </a:solidFill>
            <a:ln>
              <a:noFill/>
            </a:ln>
            <a:effectLst/>
            <a:sp3d/>
          </c:spPr>
          <c:invertIfNegative val="0"/>
          <c:val>
            <c:numRef>
              <c:f>Diagramm!$AD$3:$AD$17</c:f>
              <c:numCache>
                <c:formatCode>_("€"* #,##0.00_);_("€"* \(#,##0.00\);_("€"* "-"??_);_(@_)</c:formatCode>
                <c:ptCount val="15"/>
                <c:pt idx="1">
                  <c:v>312</c:v>
                </c:pt>
                <c:pt idx="2">
                  <c:v>865.28000000000009</c:v>
                </c:pt>
                <c:pt idx="3">
                  <c:v>337.45920000000001</c:v>
                </c:pt>
                <c:pt idx="5">
                  <c:v>7604.0806400000019</c:v>
                </c:pt>
                <c:pt idx="7">
                  <c:v>5526.9134727905293</c:v>
                </c:pt>
                <c:pt idx="8">
                  <c:v>1779.1397655268561</c:v>
                </c:pt>
                <c:pt idx="9">
                  <c:v>426.99354372644552</c:v>
                </c:pt>
                <c:pt idx="11">
                  <c:v>11161.04190828432</c:v>
                </c:pt>
                <c:pt idx="13">
                  <c:v>499.52205219311674</c:v>
                </c:pt>
                <c:pt idx="14">
                  <c:v>1385.3411580822433</c:v>
                </c:pt>
              </c:numCache>
            </c:numRef>
          </c:val>
          <c:extLst>
            <c:ext xmlns:c16="http://schemas.microsoft.com/office/drawing/2014/chart" uri="{C3380CC4-5D6E-409C-BE32-E72D297353CC}">
              <c16:uniqueId val="{00000008-316A-4444-A8EF-C17207189589}"/>
            </c:ext>
          </c:extLst>
        </c:ser>
        <c:dLbls>
          <c:showLegendKey val="0"/>
          <c:showVal val="0"/>
          <c:showCatName val="0"/>
          <c:showSerName val="0"/>
          <c:showPercent val="0"/>
          <c:showBubbleSize val="0"/>
        </c:dLbls>
        <c:gapWidth val="150"/>
        <c:shape val="box"/>
        <c:axId val="758577391"/>
        <c:axId val="1"/>
        <c:axId val="0"/>
      </c:bar3DChart>
      <c:catAx>
        <c:axId val="758577391"/>
        <c:scaling>
          <c:orientation val="minMax"/>
        </c:scaling>
        <c:delete val="0"/>
        <c:axPos val="b"/>
        <c:title>
          <c:tx>
            <c:rich>
              <a:bodyPr/>
              <a:lstStyle/>
              <a:p>
                <a:pPr>
                  <a:defRPr/>
                </a:pPr>
                <a:r>
                  <a:rPr lang="en-US"/>
                  <a:t>Zykluszeitraum in Jahren</a:t>
                </a:r>
              </a:p>
            </c:rich>
          </c:tx>
          <c:layout>
            <c:manualLayout>
              <c:xMode val="edge"/>
              <c:yMode val="edge"/>
              <c:x val="0.4367566340896808"/>
              <c:y val="0.9252533306754378"/>
            </c:manualLayout>
          </c:layout>
          <c:overlay val="0"/>
        </c:title>
        <c:numFmt formatCode="General"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title>
          <c:tx>
            <c:rich>
              <a:bodyPr/>
              <a:lstStyle/>
              <a:p>
                <a:pPr>
                  <a:defRPr/>
                </a:pPr>
                <a:r>
                  <a:rPr lang="en-US"/>
                  <a:t>Kosten in €</a:t>
                </a:r>
              </a:p>
            </c:rich>
          </c:tx>
          <c:layout>
            <c:manualLayout>
              <c:xMode val="edge"/>
              <c:yMode val="edge"/>
              <c:x val="2.0243834708374764E-2"/>
              <c:y val="0.4340201145742858"/>
            </c:manualLayout>
          </c:layout>
          <c:overlay val="0"/>
        </c:title>
        <c:numFmt formatCode="General" sourceLinked="1"/>
        <c:majorTickMark val="none"/>
        <c:minorTickMark val="none"/>
        <c:tickLblPos val="nextTo"/>
        <c:spPr>
          <a:ln w="6350">
            <a:noFill/>
          </a:ln>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e-DE"/>
          </a:p>
        </c:txPr>
        <c:crossAx val="758577391"/>
        <c:crosses val="autoZero"/>
        <c:crossBetween val="between"/>
      </c:valAx>
      <c:spPr>
        <a:noFill/>
        <a:ln w="25400">
          <a:noFill/>
        </a:ln>
      </c:spPr>
    </c:plotArea>
    <c:legend>
      <c:legendPos val="r"/>
      <c:layout>
        <c:manualLayout>
          <c:xMode val="edge"/>
          <c:yMode val="edge"/>
          <c:x val="3.5694463106787422E-2"/>
          <c:y val="0.94568324529054126"/>
          <c:w val="0.93535889925022153"/>
          <c:h val="5.4316754709458737E-2"/>
        </c:manualLayout>
      </c:layout>
      <c:overlay val="0"/>
      <c:spPr>
        <a:noFill/>
        <a:ln w="25400">
          <a:noFill/>
        </a:ln>
      </c:spPr>
      <c:txPr>
        <a:bodyPr rot="0" spcFirstLastPara="1" vertOverflow="ellipsis" vert="horz" wrap="square" anchor="ctr" anchorCtr="1"/>
        <a:lstStyle/>
        <a:p>
          <a:pPr>
            <a:defRPr sz="800" b="0" i="0" u="none" strike="noStrike" kern="1200" baseline="0">
              <a:solidFill>
                <a:schemeClr val="tx1">
                  <a:lumMod val="65000"/>
                  <a:lumOff val="35000"/>
                </a:schemeClr>
              </a:solidFill>
              <a:latin typeface="+mj-lt"/>
              <a:ea typeface="+mn-ea"/>
              <a:cs typeface="+mn-cs"/>
            </a:defRPr>
          </a:pPr>
          <a:endParaRPr lang="de-DE"/>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de-DE"/>
    </a:p>
  </c:txPr>
  <c:printSettings>
    <c:headerFooter/>
    <c:pageMargins b="0.78740157499999996" l="0.7" r="0.7" t="0.78740157499999996" header="0.3" footer="0.3"/>
    <c:pageSetup orientation="landscape"/>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38100</xdr:rowOff>
    </xdr:from>
    <xdr:to>
      <xdr:col>10</xdr:col>
      <xdr:colOff>752475</xdr:colOff>
      <xdr:row>30</xdr:row>
      <xdr:rowOff>161925</xdr:rowOff>
    </xdr:to>
    <xdr:graphicFrame macro="">
      <xdr:nvGraphicFramePr>
        <xdr:cNvPr id="1044" name="Diagramm 2">
          <a:extLst>
            <a:ext uri="{FF2B5EF4-FFF2-40B4-BE49-F238E27FC236}">
              <a16:creationId xmlns:a16="http://schemas.microsoft.com/office/drawing/2014/main" id="{6F3238D0-A9FF-DB87-29DC-35A697982D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hyperlink" Target="http://www.umweltbundesamt.de/" TargetMode="External"/><Relationship Id="rId7" Type="http://schemas.openxmlformats.org/officeDocument/2006/relationships/printerSettings" Target="../printerSettings/printerSettings6.bin"/><Relationship Id="rId2" Type="http://schemas.openxmlformats.org/officeDocument/2006/relationships/hyperlink" Target="http://www.bmwk.de/" TargetMode="External"/><Relationship Id="rId1" Type="http://schemas.openxmlformats.org/officeDocument/2006/relationships/hyperlink" Target="http://www.bdew.de/" TargetMode="External"/><Relationship Id="rId6" Type="http://schemas.openxmlformats.org/officeDocument/2006/relationships/hyperlink" Target="http://www.ise.fraunhofer.de/" TargetMode="External"/><Relationship Id="rId5" Type="http://schemas.openxmlformats.org/officeDocument/2006/relationships/hyperlink" Target="http://www.agora-energiewende.de/" TargetMode="External"/><Relationship Id="rId4" Type="http://schemas.openxmlformats.org/officeDocument/2006/relationships/hyperlink" Target="http://www.prognos.com/"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hyperlink" Target="http://www.zwei.org.de/" TargetMode="External"/><Relationship Id="rId7" Type="http://schemas.openxmlformats.org/officeDocument/2006/relationships/printerSettings" Target="../printerSettings/printerSettings8.bin"/><Relationship Id="rId2" Type="http://schemas.openxmlformats.org/officeDocument/2006/relationships/hyperlink" Target="https://dekracloud-my.sharepoint.com/personal/a183334_dekra_org/Documents/vdma.org.de" TargetMode="External"/><Relationship Id="rId1" Type="http://schemas.openxmlformats.org/officeDocument/2006/relationships/hyperlink" Target="http://www.destatis.de/" TargetMode="External"/><Relationship Id="rId6" Type="http://schemas.openxmlformats.org/officeDocument/2006/relationships/hyperlink" Target="http://www.gesetze-im-internet.de/" TargetMode="External"/><Relationship Id="rId5" Type="http://schemas.openxmlformats.org/officeDocument/2006/relationships/hyperlink" Target="http://www.din.de/" TargetMode="External"/><Relationship Id="rId4" Type="http://schemas.openxmlformats.org/officeDocument/2006/relationships/hyperlink" Target="http://www.vdma.org/"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121CEB-524C-465F-8DF6-85E62A833A20}">
  <sheetPr>
    <tabColor theme="4"/>
  </sheetPr>
  <dimension ref="A1:K31"/>
  <sheetViews>
    <sheetView tabSelected="1" workbookViewId="0">
      <selection sqref="A1:G1"/>
    </sheetView>
  </sheetViews>
  <sheetFormatPr baseColWidth="10" defaultRowHeight="15" x14ac:dyDescent="0.25"/>
  <sheetData>
    <row r="1" spans="1:11" ht="21" x14ac:dyDescent="0.35">
      <c r="A1" s="363" t="s">
        <v>162</v>
      </c>
      <c r="B1" s="363"/>
      <c r="C1" s="363"/>
      <c r="D1" s="363"/>
      <c r="E1" s="363"/>
      <c r="F1" s="363"/>
      <c r="G1" s="363"/>
      <c r="J1" t="s">
        <v>559</v>
      </c>
      <c r="K1" s="315">
        <v>45986</v>
      </c>
    </row>
    <row r="2" spans="1:11" ht="21" x14ac:dyDescent="0.35">
      <c r="A2" s="363" t="s">
        <v>163</v>
      </c>
      <c r="B2" s="363"/>
      <c r="C2" s="363"/>
      <c r="D2" s="363"/>
      <c r="E2" s="363"/>
      <c r="F2" s="363"/>
      <c r="G2" s="363"/>
      <c r="K2" s="85" t="s">
        <v>649</v>
      </c>
    </row>
    <row r="3" spans="1:11" ht="4.5" customHeight="1" x14ac:dyDescent="0.25"/>
    <row r="4" spans="1:11" x14ac:dyDescent="0.25">
      <c r="A4" s="87" t="s">
        <v>178</v>
      </c>
    </row>
    <row r="5" spans="1:11" ht="4.5" customHeight="1" x14ac:dyDescent="0.25"/>
    <row r="6" spans="1:11" x14ac:dyDescent="0.25">
      <c r="A6" s="120" t="s">
        <v>553</v>
      </c>
      <c r="B6" s="302"/>
      <c r="C6" s="302"/>
      <c r="D6" s="302"/>
      <c r="E6" s="302"/>
    </row>
    <row r="7" spans="1:11" ht="30" customHeight="1" x14ac:dyDescent="0.25">
      <c r="A7" s="302"/>
      <c r="B7" s="361" t="s">
        <v>604</v>
      </c>
      <c r="C7" s="361"/>
      <c r="D7" s="361"/>
      <c r="E7" s="361"/>
      <c r="F7" s="361"/>
      <c r="G7" s="361"/>
      <c r="H7" s="361"/>
      <c r="I7" s="361"/>
      <c r="J7" s="361"/>
      <c r="K7" s="361"/>
    </row>
    <row r="8" spans="1:11" ht="4.5" customHeight="1" x14ac:dyDescent="0.25">
      <c r="A8" s="302"/>
      <c r="B8" s="302"/>
      <c r="C8" s="302"/>
      <c r="D8" s="302"/>
      <c r="E8" s="302"/>
      <c r="F8" s="302"/>
      <c r="G8" s="302"/>
      <c r="H8" s="302"/>
      <c r="I8" s="302"/>
      <c r="J8" s="302"/>
      <c r="K8" s="302"/>
    </row>
    <row r="9" spans="1:11" x14ac:dyDescent="0.25">
      <c r="A9" s="312" t="s">
        <v>554</v>
      </c>
      <c r="B9" s="303"/>
      <c r="C9" s="303"/>
      <c r="D9" s="303"/>
      <c r="E9" s="303"/>
    </row>
    <row r="10" spans="1:11" ht="29.25" customHeight="1" x14ac:dyDescent="0.25">
      <c r="A10" s="303"/>
      <c r="B10" s="361" t="s">
        <v>636</v>
      </c>
      <c r="C10" s="361"/>
      <c r="D10" s="361"/>
      <c r="E10" s="361"/>
      <c r="F10" s="361"/>
      <c r="G10" s="361"/>
      <c r="H10" s="361"/>
      <c r="I10" s="361"/>
      <c r="J10" s="361"/>
      <c r="K10" s="361"/>
    </row>
    <row r="11" spans="1:11" ht="4.5" customHeight="1" x14ac:dyDescent="0.25">
      <c r="A11" s="303"/>
      <c r="B11" s="303"/>
      <c r="C11" s="303"/>
      <c r="D11" s="303"/>
      <c r="E11" s="303"/>
      <c r="F11" s="303"/>
      <c r="G11" s="303"/>
      <c r="H11" s="303"/>
      <c r="I11" s="303"/>
      <c r="J11" s="303"/>
      <c r="K11" s="303"/>
    </row>
    <row r="12" spans="1:11" x14ac:dyDescent="0.25">
      <c r="A12" s="311" t="s">
        <v>637</v>
      </c>
      <c r="B12" s="304"/>
      <c r="C12" s="304"/>
      <c r="D12" s="304"/>
      <c r="E12" s="304"/>
    </row>
    <row r="13" spans="1:11" ht="30.75" customHeight="1" x14ac:dyDescent="0.25">
      <c r="A13" s="304"/>
      <c r="B13" s="361" t="s">
        <v>562</v>
      </c>
      <c r="C13" s="361"/>
      <c r="D13" s="361"/>
      <c r="E13" s="361"/>
      <c r="F13" s="361"/>
      <c r="G13" s="361"/>
      <c r="H13" s="361"/>
      <c r="I13" s="361"/>
      <c r="J13" s="361"/>
      <c r="K13" s="361"/>
    </row>
    <row r="14" spans="1:11" ht="4.5" customHeight="1" x14ac:dyDescent="0.25">
      <c r="A14" s="304"/>
      <c r="B14" s="304"/>
      <c r="C14" s="304"/>
      <c r="D14" s="304"/>
      <c r="E14" s="304"/>
      <c r="F14" s="304"/>
      <c r="G14" s="304"/>
      <c r="H14" s="304"/>
      <c r="I14" s="304"/>
      <c r="J14" s="304"/>
      <c r="K14" s="304"/>
    </row>
    <row r="15" spans="1:11" x14ac:dyDescent="0.25">
      <c r="A15" s="310" t="s">
        <v>638</v>
      </c>
      <c r="B15" s="305"/>
      <c r="C15" s="305"/>
      <c r="D15" s="305"/>
      <c r="E15" s="305"/>
    </row>
    <row r="16" spans="1:11" ht="45" customHeight="1" x14ac:dyDescent="0.25">
      <c r="A16" s="305"/>
      <c r="B16" s="361" t="s">
        <v>582</v>
      </c>
      <c r="C16" s="361"/>
      <c r="D16" s="361"/>
      <c r="E16" s="361"/>
      <c r="F16" s="361"/>
      <c r="G16" s="361"/>
      <c r="H16" s="361"/>
      <c r="I16" s="361"/>
      <c r="J16" s="361"/>
      <c r="K16" s="361"/>
    </row>
    <row r="17" spans="1:11" ht="4.5" customHeight="1" x14ac:dyDescent="0.25">
      <c r="A17" s="305"/>
      <c r="B17" s="305"/>
      <c r="C17" s="305"/>
      <c r="D17" s="305"/>
      <c r="E17" s="305"/>
      <c r="F17" s="305"/>
      <c r="G17" s="305"/>
      <c r="H17" s="305"/>
      <c r="I17" s="305"/>
      <c r="J17" s="305"/>
      <c r="K17" s="305"/>
    </row>
    <row r="18" spans="1:11" x14ac:dyDescent="0.25">
      <c r="A18" s="309" t="s">
        <v>555</v>
      </c>
      <c r="B18" s="306"/>
      <c r="C18" s="306"/>
      <c r="D18" s="306"/>
      <c r="E18" s="306"/>
    </row>
    <row r="19" spans="1:11" ht="15.75" customHeight="1" x14ac:dyDescent="0.25">
      <c r="A19" s="306"/>
      <c r="B19" s="362" t="s">
        <v>556</v>
      </c>
      <c r="C19" s="362"/>
      <c r="D19" s="362"/>
      <c r="E19" s="362"/>
      <c r="F19" s="362"/>
      <c r="G19" s="362"/>
      <c r="H19" s="362"/>
      <c r="I19" s="362"/>
      <c r="J19" s="362"/>
      <c r="K19" s="362"/>
    </row>
    <row r="20" spans="1:11" ht="4.5" customHeight="1" x14ac:dyDescent="0.25">
      <c r="A20" s="306"/>
      <c r="B20" s="306"/>
      <c r="C20" s="306"/>
      <c r="D20" s="306"/>
      <c r="E20" s="306"/>
      <c r="F20" s="306"/>
      <c r="G20" s="306"/>
      <c r="H20" s="306"/>
      <c r="I20" s="306"/>
      <c r="J20" s="306"/>
      <c r="K20" s="306"/>
    </row>
    <row r="21" spans="1:11" x14ac:dyDescent="0.25">
      <c r="A21" s="308" t="s">
        <v>557</v>
      </c>
      <c r="B21" s="307"/>
      <c r="C21" s="307"/>
      <c r="D21" s="307"/>
      <c r="E21" s="307"/>
    </row>
    <row r="22" spans="1:11" ht="16.5" customHeight="1" x14ac:dyDescent="0.25">
      <c r="A22" s="307"/>
      <c r="B22" s="362" t="s">
        <v>560</v>
      </c>
      <c r="C22" s="362"/>
      <c r="D22" s="362"/>
      <c r="E22" s="362"/>
      <c r="F22" s="362"/>
      <c r="G22" s="362"/>
      <c r="H22" s="362"/>
      <c r="I22" s="362"/>
      <c r="J22" s="362"/>
      <c r="K22" s="362"/>
    </row>
    <row r="23" spans="1:11" ht="4.5" customHeight="1" x14ac:dyDescent="0.25">
      <c r="A23" s="307"/>
      <c r="B23" s="307"/>
      <c r="C23" s="307"/>
      <c r="D23" s="307"/>
      <c r="E23" s="307"/>
      <c r="F23" s="307"/>
      <c r="G23" s="307"/>
      <c r="H23" s="307"/>
      <c r="I23" s="307"/>
      <c r="J23" s="307"/>
      <c r="K23" s="307"/>
    </row>
    <row r="24" spans="1:11" x14ac:dyDescent="0.25">
      <c r="A24" s="314" t="s">
        <v>558</v>
      </c>
      <c r="B24" s="313"/>
      <c r="C24" s="313"/>
      <c r="D24" s="313"/>
      <c r="E24" s="313"/>
    </row>
    <row r="25" spans="1:11" ht="16.5" customHeight="1" x14ac:dyDescent="0.25">
      <c r="A25" s="313"/>
      <c r="B25" s="362" t="s">
        <v>561</v>
      </c>
      <c r="C25" s="362"/>
      <c r="D25" s="362"/>
      <c r="E25" s="362"/>
      <c r="F25" s="362"/>
      <c r="G25" s="362"/>
      <c r="H25" s="362"/>
      <c r="I25" s="362"/>
      <c r="J25" s="362"/>
      <c r="K25" s="362"/>
    </row>
    <row r="26" spans="1:11" ht="4.5" customHeight="1" x14ac:dyDescent="0.25">
      <c r="A26" s="313"/>
      <c r="B26" s="313"/>
      <c r="C26" s="313"/>
      <c r="D26" s="313"/>
      <c r="E26" s="313"/>
      <c r="F26" s="313"/>
      <c r="G26" s="313"/>
      <c r="H26" s="313"/>
      <c r="I26" s="313"/>
      <c r="J26" s="313"/>
      <c r="K26" s="313"/>
    </row>
    <row r="27" spans="1:11" x14ac:dyDescent="0.25">
      <c r="A27" s="320" t="s">
        <v>563</v>
      </c>
      <c r="B27" s="316"/>
      <c r="C27" s="316"/>
      <c r="D27" s="316"/>
      <c r="E27" s="316"/>
    </row>
    <row r="28" spans="1:11" ht="45.75" customHeight="1" x14ac:dyDescent="0.25">
      <c r="A28" s="316"/>
      <c r="B28" s="361" t="s">
        <v>564</v>
      </c>
      <c r="C28" s="361"/>
      <c r="D28" s="361"/>
      <c r="E28" s="361"/>
      <c r="F28" s="361"/>
      <c r="G28" s="361"/>
      <c r="H28" s="361"/>
      <c r="I28" s="361"/>
      <c r="J28" s="361"/>
      <c r="K28" s="361"/>
    </row>
    <row r="29" spans="1:11" ht="4.5" customHeight="1" x14ac:dyDescent="0.25">
      <c r="A29" s="316"/>
      <c r="B29" s="316"/>
      <c r="C29" s="316"/>
      <c r="D29" s="316"/>
      <c r="E29" s="316"/>
      <c r="F29" s="316"/>
      <c r="G29" s="316"/>
      <c r="H29" s="316"/>
      <c r="I29" s="316"/>
      <c r="J29" s="316"/>
      <c r="K29" s="316"/>
    </row>
    <row r="30" spans="1:11" x14ac:dyDescent="0.25">
      <c r="A30" t="s">
        <v>639</v>
      </c>
      <c r="D30" t="s">
        <v>640</v>
      </c>
      <c r="G30" t="s">
        <v>641</v>
      </c>
      <c r="I30" t="s">
        <v>642</v>
      </c>
    </row>
    <row r="31" spans="1:11" x14ac:dyDescent="0.25">
      <c r="D31" t="s">
        <v>643</v>
      </c>
    </row>
  </sheetData>
  <sheetProtection algorithmName="SHA-512" hashValue="0Ihfy304N0Vs99VioOuoEmo5wvfg4NK+i2krUV2BmUI+yimoY3X2yigGqCnkm83VslY1JSeVQj7DGBWd5aO+dg==" saltValue="HYKtW95z7A2C7AixCZnKFA==" spinCount="100000" sheet="1" objects="1" scenarios="1"/>
  <mergeCells count="10">
    <mergeCell ref="A1:G1"/>
    <mergeCell ref="A2:G2"/>
    <mergeCell ref="B7:K7"/>
    <mergeCell ref="B10:K10"/>
    <mergeCell ref="B13:K13"/>
    <mergeCell ref="B28:K28"/>
    <mergeCell ref="B16:K16"/>
    <mergeCell ref="B19:K19"/>
    <mergeCell ref="B22:K22"/>
    <mergeCell ref="B25:K25"/>
  </mergeCells>
  <pageMargins left="0.7" right="0.7" top="0.78740157499999996" bottom="0.78740157499999996" header="0.3" footer="0.3"/>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B0306-797C-4091-AD88-F5F427D424A1}">
  <sheetPr codeName="Tabelle3">
    <tabColor rgb="FF7030A0"/>
  </sheetPr>
  <dimension ref="B2:V72"/>
  <sheetViews>
    <sheetView workbookViewId="0">
      <selection activeCell="F30" sqref="F30"/>
    </sheetView>
  </sheetViews>
  <sheetFormatPr baseColWidth="10" defaultRowHeight="15" x14ac:dyDescent="0.25"/>
  <cols>
    <col min="2" max="2" width="4.28515625" customWidth="1"/>
    <col min="3" max="3" width="4.5703125" customWidth="1"/>
    <col min="4" max="4" width="57.42578125" bestFit="1" customWidth="1"/>
    <col min="5" max="5" width="12.5703125" customWidth="1"/>
    <col min="6" max="11" width="11.7109375" customWidth="1"/>
    <col min="12" max="12" width="12.140625" customWidth="1"/>
    <col min="13" max="13" width="13.7109375" customWidth="1"/>
    <col min="15" max="15" width="13.7109375" customWidth="1"/>
    <col min="16" max="16" width="11.42578125" customWidth="1"/>
    <col min="17" max="17" width="12.42578125" customWidth="1"/>
    <col min="19" max="19" width="13.7109375" customWidth="1"/>
    <col min="25" max="25" width="16.28515625" customWidth="1"/>
  </cols>
  <sheetData>
    <row r="2" spans="2:20" ht="30.75" thickBot="1" x14ac:dyDescent="0.3">
      <c r="B2" s="4"/>
      <c r="C2" s="5"/>
      <c r="D2" s="6"/>
      <c r="E2" s="7"/>
      <c r="F2" s="6"/>
      <c r="G2" s="8"/>
      <c r="H2" s="9"/>
      <c r="I2" s="9"/>
      <c r="J2" s="9"/>
      <c r="K2" s="9"/>
      <c r="M2" s="163" t="s">
        <v>226</v>
      </c>
      <c r="O2" s="83"/>
      <c r="S2" s="163" t="s">
        <v>515</v>
      </c>
    </row>
    <row r="3" spans="2:20" ht="15.75" thickBot="1" x14ac:dyDescent="0.3">
      <c r="B3" s="455" t="s">
        <v>30</v>
      </c>
      <c r="C3" s="10"/>
      <c r="D3" s="11" t="s">
        <v>31</v>
      </c>
      <c r="E3" s="12" t="s">
        <v>32</v>
      </c>
      <c r="F3" s="13"/>
      <c r="G3" s="458"/>
      <c r="H3" s="458"/>
      <c r="I3" s="13"/>
      <c r="J3" s="14"/>
      <c r="K3" s="14"/>
      <c r="M3" s="170">
        <f>E33</f>
        <v>613.19999999999993</v>
      </c>
      <c r="N3" t="s">
        <v>16</v>
      </c>
      <c r="O3" s="166" t="s">
        <v>230</v>
      </c>
      <c r="P3" s="167" t="s">
        <v>485</v>
      </c>
      <c r="Q3" s="88"/>
      <c r="R3" s="166" t="s">
        <v>231</v>
      </c>
    </row>
    <row r="4" spans="2:20" x14ac:dyDescent="0.25">
      <c r="B4" s="456"/>
      <c r="C4" s="15"/>
      <c r="D4" s="16"/>
      <c r="E4" s="17"/>
      <c r="F4" s="4"/>
      <c r="G4" s="18"/>
      <c r="H4" s="19"/>
      <c r="I4" s="20"/>
      <c r="J4" s="4"/>
      <c r="K4" s="4"/>
      <c r="L4" s="168" t="s">
        <v>470</v>
      </c>
      <c r="M4" s="170">
        <f>M3</f>
        <v>613.19999999999993</v>
      </c>
      <c r="N4" s="84" t="s">
        <v>16</v>
      </c>
      <c r="O4" s="100">
        <v>55</v>
      </c>
      <c r="Q4" s="100">
        <v>3.5E-4</v>
      </c>
      <c r="R4" s="169">
        <f>SUM(E34*Q4)</f>
        <v>0.61319999999999997</v>
      </c>
      <c r="S4" s="170">
        <f>SUM(R4*O4)</f>
        <v>33.725999999999999</v>
      </c>
      <c r="T4" s="84" t="s">
        <v>16</v>
      </c>
    </row>
    <row r="5" spans="2:20" x14ac:dyDescent="0.25">
      <c r="B5" s="456"/>
      <c r="C5" s="21">
        <v>1</v>
      </c>
      <c r="D5" s="16" t="s">
        <v>33</v>
      </c>
      <c r="E5" s="102">
        <f>'B-Angaben Bieter'!I8</f>
        <v>7</v>
      </c>
      <c r="F5" s="4"/>
      <c r="G5" s="20"/>
      <c r="H5" s="20"/>
      <c r="I5" s="4"/>
      <c r="J5" s="4"/>
      <c r="K5" s="4"/>
      <c r="L5" s="168" t="s">
        <v>472</v>
      </c>
      <c r="M5" s="170">
        <f>SUM(M3*(N30)^1)</f>
        <v>643.8599999999999</v>
      </c>
      <c r="N5" s="84" t="s">
        <v>16</v>
      </c>
      <c r="O5" s="100">
        <v>60</v>
      </c>
      <c r="Q5" s="100">
        <v>3.2000000000000003E-4</v>
      </c>
      <c r="R5" s="169">
        <f>SUM(E34*Q5)</f>
        <v>0.56064000000000003</v>
      </c>
      <c r="S5" s="170">
        <f>SUM(R5*O5)</f>
        <v>33.638400000000004</v>
      </c>
      <c r="T5" s="84" t="s">
        <v>16</v>
      </c>
    </row>
    <row r="6" spans="2:20" x14ac:dyDescent="0.25">
      <c r="B6" s="456"/>
      <c r="C6" s="22">
        <v>2</v>
      </c>
      <c r="D6" s="23" t="s">
        <v>34</v>
      </c>
      <c r="E6" s="103">
        <f>'A-Angaben Planer-AG'!I13</f>
        <v>1</v>
      </c>
      <c r="F6" s="24"/>
      <c r="G6" s="25"/>
      <c r="H6" s="25"/>
      <c r="I6" s="24"/>
      <c r="J6" s="24"/>
      <c r="K6" s="24"/>
      <c r="L6" s="168" t="s">
        <v>471</v>
      </c>
      <c r="M6" s="170">
        <f>SUM(M3*(N30)^2)</f>
        <v>676.053</v>
      </c>
      <c r="N6" s="84" t="s">
        <v>16</v>
      </c>
      <c r="O6" s="100">
        <v>85</v>
      </c>
      <c r="Q6" s="100">
        <v>2.7999999999999998E-4</v>
      </c>
      <c r="R6" s="169">
        <f>SUM(E34*Q6)</f>
        <v>0.49055999999999994</v>
      </c>
      <c r="S6" s="170">
        <f>SUM(R6*O6)</f>
        <v>41.697599999999994</v>
      </c>
      <c r="T6" s="84" t="s">
        <v>16</v>
      </c>
    </row>
    <row r="7" spans="2:20" x14ac:dyDescent="0.25">
      <c r="B7" s="456"/>
      <c r="C7" s="21">
        <v>3</v>
      </c>
      <c r="D7" s="16" t="s">
        <v>35</v>
      </c>
      <c r="E7" s="102">
        <f>'A-Angaben Planer-AG'!I14</f>
        <v>20</v>
      </c>
      <c r="F7" s="4"/>
      <c r="G7" s="4"/>
      <c r="H7" s="4"/>
      <c r="I7" s="4"/>
      <c r="J7" s="4"/>
      <c r="K7" s="4"/>
      <c r="L7" s="168" t="s">
        <v>473</v>
      </c>
      <c r="M7" s="170">
        <f>SUM(M3*(N30)^3)</f>
        <v>709.85564999999997</v>
      </c>
      <c r="N7" s="84" t="s">
        <v>16</v>
      </c>
      <c r="O7" s="100">
        <v>100</v>
      </c>
      <c r="Q7" s="100">
        <v>2.4000000000000001E-4</v>
      </c>
      <c r="R7" s="169">
        <f>SUM(E34*Q7)</f>
        <v>0.42048000000000002</v>
      </c>
      <c r="S7" s="170">
        <f t="shared" ref="S7:S18" si="0">SUM(R7*O7)</f>
        <v>42.048000000000002</v>
      </c>
      <c r="T7" s="84" t="s">
        <v>16</v>
      </c>
    </row>
    <row r="8" spans="2:20" x14ac:dyDescent="0.25">
      <c r="B8" s="456"/>
      <c r="C8" s="21">
        <v>4</v>
      </c>
      <c r="D8" s="16" t="s">
        <v>36</v>
      </c>
      <c r="E8" s="104">
        <f>E7/E6</f>
        <v>20</v>
      </c>
      <c r="F8" s="9"/>
      <c r="G8" s="4"/>
      <c r="H8" s="4"/>
      <c r="I8" s="4"/>
      <c r="J8" s="4"/>
      <c r="K8" s="4"/>
      <c r="L8" s="168" t="s">
        <v>474</v>
      </c>
      <c r="M8" s="170">
        <f>SUM(M3*(N30)^4)</f>
        <v>745.34843249999994</v>
      </c>
      <c r="N8" s="84" t="s">
        <v>16</v>
      </c>
      <c r="O8" s="100">
        <v>120</v>
      </c>
      <c r="Q8" s="100">
        <v>2.0000000000000001E-4</v>
      </c>
      <c r="R8" s="169">
        <f>SUM(E34*Q8)</f>
        <v>0.35039999999999999</v>
      </c>
      <c r="S8" s="170">
        <f t="shared" si="0"/>
        <v>42.048000000000002</v>
      </c>
      <c r="T8" s="84" t="s">
        <v>16</v>
      </c>
    </row>
    <row r="9" spans="2:20" x14ac:dyDescent="0.25">
      <c r="B9" s="456"/>
      <c r="C9" s="21">
        <v>8</v>
      </c>
      <c r="D9" s="18" t="s">
        <v>37</v>
      </c>
      <c r="E9" s="105">
        <f>'A-Angaben Planer-AG'!I11</f>
        <v>1000</v>
      </c>
      <c r="F9" s="4"/>
      <c r="G9" s="4"/>
      <c r="H9" s="4"/>
      <c r="I9" s="4"/>
      <c r="J9" s="4"/>
      <c r="K9" s="4"/>
      <c r="L9" s="168" t="s">
        <v>475</v>
      </c>
      <c r="M9" s="170">
        <f>SUM(M3*(N30)^5)</f>
        <v>782.61585412499994</v>
      </c>
      <c r="N9" s="84" t="s">
        <v>16</v>
      </c>
      <c r="O9" s="100">
        <v>150</v>
      </c>
      <c r="Q9" s="100">
        <v>1.6000000000000001E-4</v>
      </c>
      <c r="R9" s="169">
        <f>SUM(E34*Q9)</f>
        <v>0.28032000000000001</v>
      </c>
      <c r="S9" s="170">
        <f t="shared" si="0"/>
        <v>42.048000000000002</v>
      </c>
      <c r="T9" s="84" t="s">
        <v>16</v>
      </c>
    </row>
    <row r="10" spans="2:20" x14ac:dyDescent="0.25">
      <c r="B10" s="456"/>
      <c r="C10" s="21">
        <v>9</v>
      </c>
      <c r="D10" s="18" t="s">
        <v>38</v>
      </c>
      <c r="E10" s="102" t="str">
        <f>IF('A-Angaben Planer-AG'!I12="Seil","0,7","1,2")</f>
        <v>0,7</v>
      </c>
      <c r="F10" s="9"/>
      <c r="G10" s="4"/>
      <c r="H10" s="4"/>
      <c r="I10" s="4" t="s">
        <v>109</v>
      </c>
      <c r="J10" s="4">
        <v>0.7</v>
      </c>
      <c r="K10" s="4"/>
      <c r="L10" s="168" t="s">
        <v>476</v>
      </c>
      <c r="M10" s="170">
        <f>SUM(M3*(N30)^6)</f>
        <v>821.7466468312499</v>
      </c>
      <c r="N10" s="84" t="s">
        <v>16</v>
      </c>
      <c r="O10" s="100">
        <v>165</v>
      </c>
      <c r="Q10" s="100">
        <v>1.3999999999999999E-4</v>
      </c>
      <c r="R10" s="169">
        <f>SUM(E34*Q10)</f>
        <v>0.24527999999999997</v>
      </c>
      <c r="S10" s="170">
        <f t="shared" si="0"/>
        <v>40.471199999999996</v>
      </c>
      <c r="T10" s="84" t="s">
        <v>16</v>
      </c>
    </row>
    <row r="11" spans="2:20" x14ac:dyDescent="0.25">
      <c r="B11" s="456"/>
      <c r="C11" s="21">
        <v>10</v>
      </c>
      <c r="D11" s="26" t="s">
        <v>39</v>
      </c>
      <c r="E11" s="106">
        <f>E5*(E8/60/60)*2*1000</f>
        <v>77.777777777777771</v>
      </c>
      <c r="F11" s="27"/>
      <c r="G11" s="9"/>
      <c r="H11" s="4"/>
      <c r="I11" s="4" t="s">
        <v>110</v>
      </c>
      <c r="J11" s="4">
        <v>1.2</v>
      </c>
      <c r="K11" s="4"/>
      <c r="L11" s="168" t="s">
        <v>477</v>
      </c>
      <c r="M11" s="170">
        <f>SUM(M3*(N30)^7)</f>
        <v>862.83397917281252</v>
      </c>
      <c r="N11" s="84" t="s">
        <v>16</v>
      </c>
      <c r="O11" s="100">
        <v>180</v>
      </c>
      <c r="Q11" s="100">
        <v>1.2E-4</v>
      </c>
      <c r="R11" s="169">
        <f>SUM(E34*Q11)</f>
        <v>0.21024000000000001</v>
      </c>
      <c r="S11" s="170">
        <f t="shared" si="0"/>
        <v>37.843200000000003</v>
      </c>
      <c r="T11" s="84" t="s">
        <v>16</v>
      </c>
    </row>
    <row r="12" spans="2:20" x14ac:dyDescent="0.25">
      <c r="B12" s="456"/>
      <c r="C12" s="21">
        <v>11</v>
      </c>
      <c r="D12" s="18" t="s">
        <v>40</v>
      </c>
      <c r="E12" s="106">
        <f>E10*E11*1000/(E9*E7*2)</f>
        <v>1.3611111111111109</v>
      </c>
      <c r="F12" s="27"/>
      <c r="G12" s="9"/>
      <c r="H12" s="4"/>
      <c r="I12" s="4"/>
      <c r="J12" s="4"/>
      <c r="K12" s="4"/>
      <c r="L12" s="168" t="s">
        <v>478</v>
      </c>
      <c r="M12" s="170">
        <f>SUM(M3*(N30)^8)</f>
        <v>905.97567813145304</v>
      </c>
      <c r="N12" s="84" t="s">
        <v>16</v>
      </c>
      <c r="O12" s="100">
        <v>195</v>
      </c>
      <c r="Q12" s="100">
        <v>1.1E-4</v>
      </c>
      <c r="R12" s="169">
        <f>SUM(E34*Q12)</f>
        <v>0.19272</v>
      </c>
      <c r="S12" s="170">
        <f t="shared" si="0"/>
        <v>37.580399999999997</v>
      </c>
      <c r="T12" s="84" t="s">
        <v>16</v>
      </c>
    </row>
    <row r="13" spans="2:20" x14ac:dyDescent="0.25">
      <c r="B13" s="456"/>
      <c r="C13" s="21">
        <v>12</v>
      </c>
      <c r="D13" s="28" t="s">
        <v>41</v>
      </c>
      <c r="E13" s="107" t="str">
        <f>IF(E12&lt;=0.56,"A",IF(E12&lt;=0.84,"B",IF(E12&lt;=1.26,"C",IF(E12&lt;=1.89,"D",IF(E12&lt;=2.8,"E",IF(E12&lt;=4.2,"F",IF(E12&gt;4.2,"G","Fehler")))))))</f>
        <v>D</v>
      </c>
      <c r="F13" s="4"/>
      <c r="G13" s="4"/>
      <c r="H13" s="4"/>
      <c r="I13" s="4"/>
      <c r="J13" s="4"/>
      <c r="K13" s="4"/>
      <c r="L13" s="168" t="s">
        <v>479</v>
      </c>
      <c r="M13" s="170">
        <f>SUM(M3*(N30)^9)</f>
        <v>951.27446203802572</v>
      </c>
      <c r="N13" s="84" t="s">
        <v>16</v>
      </c>
      <c r="O13" s="100">
        <v>210</v>
      </c>
      <c r="Q13" s="100">
        <v>9.0000000000000006E-5</v>
      </c>
      <c r="R13" s="169">
        <f>SUM(E34*Q13)</f>
        <v>0.15768000000000001</v>
      </c>
      <c r="S13" s="170">
        <f t="shared" si="0"/>
        <v>33.1128</v>
      </c>
      <c r="T13" s="84" t="s">
        <v>16</v>
      </c>
    </row>
    <row r="14" spans="2:20" x14ac:dyDescent="0.25">
      <c r="B14" s="456"/>
      <c r="C14" s="21">
        <v>13</v>
      </c>
      <c r="D14" s="26" t="s">
        <v>42</v>
      </c>
      <c r="E14" s="105">
        <f>'B-Angaben Bieter'!I7</f>
        <v>100</v>
      </c>
      <c r="F14" s="9"/>
      <c r="G14" s="4"/>
      <c r="H14" s="4"/>
      <c r="I14" s="4"/>
      <c r="J14" s="4"/>
      <c r="K14" s="4"/>
      <c r="L14" s="168" t="s">
        <v>480</v>
      </c>
      <c r="M14" s="170">
        <f>SUM(M3*(N30)^10)</f>
        <v>998.83818513992708</v>
      </c>
      <c r="N14" s="84" t="s">
        <v>16</v>
      </c>
      <c r="O14" s="100">
        <v>220</v>
      </c>
      <c r="Q14" s="100">
        <v>8.0000000000000007E-5</v>
      </c>
      <c r="R14" s="169">
        <f>SUM(E34*Q14)</f>
        <v>0.14016000000000001</v>
      </c>
      <c r="S14" s="170">
        <f t="shared" si="0"/>
        <v>30.8352</v>
      </c>
      <c r="T14" s="84" t="s">
        <v>16</v>
      </c>
    </row>
    <row r="15" spans="2:20" x14ac:dyDescent="0.25">
      <c r="B15" s="456"/>
      <c r="C15" s="21">
        <v>14</v>
      </c>
      <c r="D15" s="28" t="s">
        <v>41</v>
      </c>
      <c r="E15" s="107" t="str">
        <f>IF(E14&lt;=50,"A",IF(E14&lt;=100,"B",IF(E14&lt;=200,"C",IF(E14&lt;=400,"D",IF(E14&lt;=800,"E",IF(E14&lt;=1600,"F",IF(E14&gt;1600,"G","Fehler")))))))</f>
        <v>B</v>
      </c>
      <c r="F15" s="4"/>
      <c r="G15" s="4"/>
      <c r="H15" s="4"/>
      <c r="I15" s="4"/>
      <c r="J15" s="4"/>
      <c r="K15" s="4"/>
      <c r="L15" s="168" t="s">
        <v>481</v>
      </c>
      <c r="M15" s="170">
        <f>SUM(M3*(N30)^11)</f>
        <v>1048.7800943969235</v>
      </c>
      <c r="N15" s="84" t="s">
        <v>16</v>
      </c>
      <c r="O15" s="100">
        <v>230</v>
      </c>
      <c r="Q15" s="100">
        <v>6.9999999999999994E-5</v>
      </c>
      <c r="R15" s="169">
        <f>SUM(E34*Q15)</f>
        <v>0.12263999999999999</v>
      </c>
      <c r="S15" s="170">
        <f t="shared" si="0"/>
        <v>28.207199999999997</v>
      </c>
      <c r="T15" s="84" t="s">
        <v>16</v>
      </c>
    </row>
    <row r="16" spans="2:20" x14ac:dyDescent="0.25">
      <c r="B16" s="456"/>
      <c r="C16" s="30"/>
      <c r="D16" s="31" t="s">
        <v>43</v>
      </c>
      <c r="E16" s="107">
        <f>E12+(E14*E21/3.6)/(E9*E6*E20)</f>
        <v>2.6666666666666661</v>
      </c>
      <c r="F16" s="4"/>
      <c r="G16" s="4"/>
      <c r="H16" s="4"/>
      <c r="I16" s="4"/>
      <c r="J16" s="4"/>
      <c r="K16" s="4"/>
      <c r="L16" s="168" t="s">
        <v>482</v>
      </c>
      <c r="M16" s="170">
        <f>SUM(M3*(N30)^12)</f>
        <v>1101.2190991167695</v>
      </c>
      <c r="N16" s="84" t="s">
        <v>16</v>
      </c>
      <c r="O16" s="100">
        <v>240</v>
      </c>
      <c r="Q16" s="100">
        <v>6.0000000000000002E-5</v>
      </c>
      <c r="R16" s="169">
        <f>SUM(E34*Q16)</f>
        <v>0.10512000000000001</v>
      </c>
      <c r="S16" s="170">
        <f t="shared" si="0"/>
        <v>25.2288</v>
      </c>
      <c r="T16" s="84" t="s">
        <v>16</v>
      </c>
    </row>
    <row r="17" spans="2:20" x14ac:dyDescent="0.25">
      <c r="B17" s="456"/>
      <c r="C17" s="32" t="s">
        <v>44</v>
      </c>
      <c r="D17" s="28" t="s">
        <v>45</v>
      </c>
      <c r="E17" s="337" t="str">
        <f>IF(E19=1,N66,IF(E19=2,P66,IF(E19=3,R66,IF(E19=4,T66,IF(E19=5,V66,"Fehler")))))</f>
        <v>C</v>
      </c>
      <c r="F17" s="33"/>
      <c r="G17" s="34"/>
      <c r="H17" s="35"/>
      <c r="I17" s="4"/>
      <c r="J17" s="4"/>
      <c r="K17" s="4"/>
      <c r="L17" s="168" t="s">
        <v>483</v>
      </c>
      <c r="M17" s="170">
        <f>SUM(M3*(N30)^13)</f>
        <v>1156.2800540726082</v>
      </c>
      <c r="N17" s="84" t="s">
        <v>16</v>
      </c>
      <c r="O17" s="100">
        <v>250</v>
      </c>
      <c r="Q17" s="100">
        <v>5.5000000000000002E-5</v>
      </c>
      <c r="R17" s="169">
        <f>SUM(E34*Q17)</f>
        <v>9.6360000000000001E-2</v>
      </c>
      <c r="S17" s="170">
        <f t="shared" si="0"/>
        <v>24.09</v>
      </c>
      <c r="T17" s="84" t="s">
        <v>16</v>
      </c>
    </row>
    <row r="18" spans="2:20" x14ac:dyDescent="0.25">
      <c r="B18" s="456"/>
      <c r="C18" s="36"/>
      <c r="D18" s="37"/>
      <c r="E18" s="29"/>
      <c r="F18" s="4"/>
      <c r="G18" s="34"/>
      <c r="H18" s="35"/>
      <c r="I18" s="4"/>
      <c r="J18" s="4"/>
      <c r="K18" s="4"/>
      <c r="L18" s="168" t="s">
        <v>484</v>
      </c>
      <c r="M18" s="170">
        <f>SUM(M3*(N30)^14)</f>
        <v>1214.0940567762384</v>
      </c>
      <c r="N18" s="84" t="s">
        <v>16</v>
      </c>
      <c r="O18" s="100">
        <v>260</v>
      </c>
      <c r="Q18" s="100">
        <v>5.1999999999999997E-5</v>
      </c>
      <c r="R18" s="169">
        <f>SUM(E34*Q18)</f>
        <v>9.1103999999999991E-2</v>
      </c>
      <c r="S18" s="170">
        <f t="shared" si="0"/>
        <v>23.687039999999996</v>
      </c>
      <c r="T18" s="84" t="s">
        <v>16</v>
      </c>
    </row>
    <row r="19" spans="2:20" x14ac:dyDescent="0.25">
      <c r="B19" s="456"/>
      <c r="C19" s="38">
        <v>16</v>
      </c>
      <c r="D19" s="39" t="s">
        <v>47</v>
      </c>
      <c r="E19" s="108">
        <f>'A-Angaben Planer-AG'!I10</f>
        <v>2</v>
      </c>
      <c r="F19" s="20"/>
      <c r="G19" s="20"/>
      <c r="H19" s="20"/>
      <c r="I19" s="4"/>
      <c r="J19" s="4"/>
      <c r="K19" s="4"/>
      <c r="L19" s="168"/>
      <c r="M19" s="214"/>
      <c r="N19" s="1"/>
      <c r="O19" s="1"/>
      <c r="P19" s="1"/>
      <c r="Q19" s="1"/>
      <c r="R19" s="215"/>
      <c r="S19" s="214"/>
      <c r="T19" s="1"/>
    </row>
    <row r="20" spans="2:20" x14ac:dyDescent="0.25">
      <c r="B20" s="456"/>
      <c r="C20" s="40" t="s">
        <v>48</v>
      </c>
      <c r="D20" s="41" t="s">
        <v>49</v>
      </c>
      <c r="E20" s="109">
        <f>IF(E19=1,G59,IF(E19=2,H59,IF(E19=3,I59,IF(E19=4,J59,IF(E19=5,K59,"Fehler")))))</f>
        <v>0.5</v>
      </c>
      <c r="F20" s="20"/>
      <c r="G20" s="4"/>
      <c r="H20" s="20"/>
      <c r="I20" s="4"/>
      <c r="J20" s="4"/>
      <c r="K20" s="216" t="s">
        <v>486</v>
      </c>
      <c r="L20" s="168"/>
      <c r="M20" s="217">
        <f>SUM(M3:M19)</f>
        <v>13845.175192301005</v>
      </c>
      <c r="N20" s="219" t="s">
        <v>16</v>
      </c>
      <c r="O20" s="1"/>
      <c r="P20" s="1"/>
      <c r="Q20" s="219" t="s">
        <v>487</v>
      </c>
      <c r="R20" s="220"/>
      <c r="S20" s="217">
        <f>SUM(S4:S19)</f>
        <v>516.26184000000001</v>
      </c>
      <c r="T20" s="219" t="s">
        <v>16</v>
      </c>
    </row>
    <row r="21" spans="2:20" x14ac:dyDescent="0.25">
      <c r="B21" s="456"/>
      <c r="C21" s="40" t="s">
        <v>50</v>
      </c>
      <c r="D21" s="42" t="s">
        <v>51</v>
      </c>
      <c r="E21" s="109">
        <f>IF(E19=1,G60,IF(E19=2,H60,IF(E19=3,I60,IF(E19=4,J60,IF(E19=5,K60,"Fehler")))))</f>
        <v>23.5</v>
      </c>
      <c r="F21" s="4"/>
      <c r="G21" s="4"/>
      <c r="H21" s="4"/>
      <c r="I21" s="4"/>
      <c r="J21" s="4"/>
      <c r="K21" s="4"/>
      <c r="L21" s="168"/>
      <c r="M21" s="214"/>
      <c r="N21" s="1"/>
      <c r="O21" s="1"/>
      <c r="P21" s="1"/>
      <c r="Q21" s="1"/>
      <c r="R21" s="215"/>
      <c r="S21" s="214"/>
      <c r="T21" s="1"/>
    </row>
    <row r="22" spans="2:20" x14ac:dyDescent="0.25">
      <c r="B22" s="456"/>
      <c r="C22" s="43" t="s">
        <v>52</v>
      </c>
      <c r="D22" s="7" t="s">
        <v>53</v>
      </c>
      <c r="E22" s="110">
        <f>(E6*E20*3600)</f>
        <v>1800</v>
      </c>
      <c r="F22" s="27"/>
      <c r="G22" s="6"/>
      <c r="H22" s="4"/>
      <c r="I22" s="4"/>
      <c r="J22" s="4"/>
      <c r="K22" s="4"/>
      <c r="L22" s="168" t="s">
        <v>494</v>
      </c>
      <c r="M22" s="214"/>
      <c r="N22" s="1"/>
      <c r="O22" s="217">
        <f>SUM(M20+S20)</f>
        <v>14361.437032301004</v>
      </c>
      <c r="P22" s="219" t="s">
        <v>16</v>
      </c>
      <c r="Q22" s="1"/>
      <c r="R22" s="215"/>
      <c r="S22" s="214"/>
      <c r="T22" s="1"/>
    </row>
    <row r="23" spans="2:20" x14ac:dyDescent="0.25">
      <c r="B23" s="456"/>
      <c r="C23" s="15"/>
      <c r="D23" s="16"/>
      <c r="E23" s="44"/>
      <c r="F23" s="27"/>
      <c r="G23" s="4"/>
      <c r="H23" s="4"/>
      <c r="I23" s="4"/>
      <c r="J23" s="4"/>
      <c r="K23" s="4"/>
      <c r="L23" s="168"/>
      <c r="M23" s="214"/>
      <c r="N23" s="1"/>
      <c r="O23" s="1"/>
      <c r="P23" s="1"/>
      <c r="Q23" s="1"/>
      <c r="R23" s="215"/>
      <c r="S23" s="214"/>
      <c r="T23" s="1"/>
    </row>
    <row r="24" spans="2:20" x14ac:dyDescent="0.25">
      <c r="B24" s="456"/>
      <c r="C24" s="38">
        <v>17</v>
      </c>
      <c r="D24" s="45" t="s">
        <v>54</v>
      </c>
      <c r="E24" s="46"/>
      <c r="F24" s="47"/>
      <c r="G24" s="20"/>
      <c r="H24" s="20"/>
      <c r="I24" s="20"/>
      <c r="J24" s="4"/>
      <c r="K24" s="216" t="s">
        <v>498</v>
      </c>
      <c r="L24" s="168"/>
      <c r="M24" s="214"/>
      <c r="N24" s="226">
        <f>SUM(E34)</f>
        <v>1752</v>
      </c>
      <c r="O24" s="219" t="s">
        <v>499</v>
      </c>
      <c r="P24" s="1"/>
      <c r="Q24" s="1"/>
      <c r="R24" s="215"/>
      <c r="S24" s="214"/>
      <c r="T24" s="1"/>
    </row>
    <row r="25" spans="2:20" x14ac:dyDescent="0.25">
      <c r="B25" s="456"/>
      <c r="C25" s="43" t="s">
        <v>55</v>
      </c>
      <c r="D25" s="16" t="s">
        <v>56</v>
      </c>
      <c r="E25" s="111">
        <f>E14*E21/1000</f>
        <v>2.35</v>
      </c>
      <c r="F25" s="47"/>
      <c r="G25" s="7"/>
      <c r="H25" s="20"/>
      <c r="I25" s="4"/>
      <c r="J25" s="4"/>
      <c r="K25" s="4"/>
      <c r="L25" s="168"/>
      <c r="M25" s="214"/>
      <c r="N25" s="1"/>
      <c r="O25" s="1"/>
      <c r="P25" s="1"/>
      <c r="Q25" s="1"/>
      <c r="R25" s="215"/>
      <c r="S25" s="214"/>
      <c r="T25" s="1"/>
    </row>
    <row r="26" spans="2:20" x14ac:dyDescent="0.25">
      <c r="B26" s="456"/>
      <c r="C26" s="43" t="s">
        <v>57</v>
      </c>
      <c r="D26" s="16" t="s">
        <v>58</v>
      </c>
      <c r="E26" s="111">
        <f>E12*E22*E9/1000000</f>
        <v>2.4499999999999997</v>
      </c>
      <c r="F26" s="47"/>
      <c r="G26" s="9"/>
      <c r="H26" s="4"/>
      <c r="I26" s="4"/>
      <c r="J26" s="4"/>
      <c r="K26" s="4"/>
      <c r="L26" s="168"/>
      <c r="M26" s="214"/>
      <c r="N26" s="1"/>
      <c r="O26" s="1"/>
      <c r="P26" s="1"/>
      <c r="Q26" s="1"/>
      <c r="R26" s="215"/>
      <c r="S26" s="214"/>
      <c r="T26" s="1"/>
    </row>
    <row r="27" spans="2:20" x14ac:dyDescent="0.25">
      <c r="B27" s="456"/>
      <c r="C27" s="43" t="s">
        <v>59</v>
      </c>
      <c r="D27" s="7" t="s">
        <v>60</v>
      </c>
      <c r="E27" s="111">
        <f>E25+E26</f>
        <v>4.8</v>
      </c>
      <c r="F27" s="27"/>
      <c r="G27" s="6"/>
      <c r="H27" s="4"/>
      <c r="I27" s="4"/>
      <c r="J27" s="4"/>
      <c r="K27" s="4"/>
      <c r="L27" s="168"/>
      <c r="M27" s="214"/>
      <c r="N27" s="1"/>
      <c r="O27" s="1"/>
      <c r="P27" s="1"/>
      <c r="Q27" s="1"/>
      <c r="R27" s="215"/>
      <c r="S27" s="214"/>
      <c r="T27" s="1"/>
    </row>
    <row r="28" spans="2:20" x14ac:dyDescent="0.25">
      <c r="B28" s="456"/>
      <c r="C28" s="43"/>
      <c r="D28" s="7"/>
      <c r="E28" s="48"/>
      <c r="F28" s="27"/>
      <c r="G28" s="6"/>
      <c r="H28" s="4"/>
      <c r="I28" s="4"/>
      <c r="J28" s="4"/>
      <c r="K28" s="4"/>
      <c r="L28" s="168"/>
      <c r="M28" s="214"/>
      <c r="N28" s="1"/>
      <c r="O28" s="1"/>
      <c r="P28" s="1"/>
      <c r="Q28" s="1"/>
      <c r="R28" s="215"/>
      <c r="S28" s="214"/>
      <c r="T28" s="1"/>
    </row>
    <row r="29" spans="2:20" x14ac:dyDescent="0.25">
      <c r="B29" s="456"/>
      <c r="C29" s="49" t="s">
        <v>61</v>
      </c>
      <c r="D29" s="50" t="s">
        <v>62</v>
      </c>
      <c r="E29" s="51"/>
      <c r="F29" s="47"/>
      <c r="G29" s="52"/>
      <c r="H29" s="20"/>
      <c r="I29" s="20"/>
      <c r="J29" s="4"/>
      <c r="K29" s="4"/>
    </row>
    <row r="30" spans="2:20" x14ac:dyDescent="0.25">
      <c r="B30" s="456"/>
      <c r="C30" s="53" t="s">
        <v>63</v>
      </c>
      <c r="D30" s="54" t="s">
        <v>64</v>
      </c>
      <c r="E30" s="112">
        <f>'A-Angaben Planer-AG'!I18</f>
        <v>0.35</v>
      </c>
      <c r="F30" s="47"/>
      <c r="G30" s="6"/>
      <c r="H30" s="4"/>
      <c r="I30" s="120" t="s">
        <v>227</v>
      </c>
      <c r="J30" s="120"/>
      <c r="K30" s="164" t="s">
        <v>469</v>
      </c>
      <c r="L30" s="165">
        <v>0.05</v>
      </c>
      <c r="M30" s="207" t="s">
        <v>228</v>
      </c>
      <c r="N30" s="208">
        <v>1.05</v>
      </c>
    </row>
    <row r="31" spans="2:20" x14ac:dyDescent="0.25">
      <c r="B31" s="456"/>
      <c r="C31" s="55" t="s">
        <v>65</v>
      </c>
      <c r="D31" s="56" t="s">
        <v>66</v>
      </c>
      <c r="E31" s="113">
        <f>'A-Angaben Planer-AG'!I16</f>
        <v>365</v>
      </c>
      <c r="F31" s="47"/>
      <c r="G31" s="6"/>
      <c r="H31" s="20"/>
      <c r="I31" s="120" t="s">
        <v>229</v>
      </c>
      <c r="J31" s="120"/>
      <c r="K31" s="89"/>
      <c r="L31" s="211"/>
      <c r="M31" s="212"/>
      <c r="N31" s="213"/>
    </row>
    <row r="32" spans="2:20" x14ac:dyDescent="0.25">
      <c r="B32" s="456"/>
      <c r="C32" s="55" t="s">
        <v>67</v>
      </c>
      <c r="D32" s="56" t="s">
        <v>68</v>
      </c>
      <c r="E32" s="114">
        <f>E27*E30</f>
        <v>1.68</v>
      </c>
      <c r="F32" s="20"/>
      <c r="G32" s="20"/>
      <c r="H32" s="20"/>
      <c r="K32" s="89"/>
      <c r="L32" s="211"/>
      <c r="M32" s="212"/>
      <c r="N32" s="213"/>
    </row>
    <row r="33" spans="2:11" x14ac:dyDescent="0.25">
      <c r="B33" s="456"/>
      <c r="C33" s="55" t="s">
        <v>69</v>
      </c>
      <c r="D33" s="56" t="s">
        <v>70</v>
      </c>
      <c r="E33" s="114">
        <f>E32*E31</f>
        <v>613.19999999999993</v>
      </c>
      <c r="F33" s="4"/>
      <c r="G33" s="4"/>
      <c r="H33" s="4"/>
      <c r="I33" s="4"/>
      <c r="J33" s="4"/>
      <c r="K33" s="4"/>
    </row>
    <row r="34" spans="2:11" ht="15.75" thickBot="1" x14ac:dyDescent="0.3">
      <c r="B34" s="457"/>
      <c r="C34" s="57" t="s">
        <v>71</v>
      </c>
      <c r="D34" s="58" t="s">
        <v>72</v>
      </c>
      <c r="E34" s="115">
        <f>E27*E31</f>
        <v>1752</v>
      </c>
      <c r="F34" s="20"/>
      <c r="G34" s="20"/>
      <c r="H34" s="20"/>
      <c r="I34" s="20"/>
      <c r="J34" s="4"/>
      <c r="K34" s="4"/>
    </row>
    <row r="35" spans="2:11" x14ac:dyDescent="0.25">
      <c r="B35" s="4"/>
      <c r="C35" s="20"/>
      <c r="D35" s="20"/>
      <c r="E35" s="20"/>
      <c r="F35" s="20"/>
      <c r="G35" s="20"/>
      <c r="H35" s="20"/>
      <c r="I35" s="20"/>
      <c r="J35" s="59"/>
      <c r="K35" s="59"/>
    </row>
    <row r="36" spans="2:11" x14ac:dyDescent="0.25">
      <c r="B36" s="4"/>
      <c r="C36" s="5"/>
      <c r="D36" s="459" t="s">
        <v>73</v>
      </c>
      <c r="E36" s="459"/>
      <c r="F36" s="459"/>
      <c r="G36" s="459"/>
      <c r="H36" s="459"/>
      <c r="I36" s="459"/>
      <c r="J36" s="459"/>
      <c r="K36" s="459"/>
    </row>
    <row r="37" spans="2:11" ht="15.75" thickBot="1" x14ac:dyDescent="0.3">
      <c r="B37" s="4"/>
      <c r="C37" s="5"/>
      <c r="D37" s="4"/>
      <c r="E37" s="4"/>
      <c r="F37" s="4"/>
      <c r="G37" s="4"/>
      <c r="H37" s="4"/>
      <c r="I37" s="4"/>
      <c r="J37" s="4"/>
      <c r="K37" s="4"/>
    </row>
    <row r="38" spans="2:11" x14ac:dyDescent="0.25">
      <c r="B38" s="455" t="s">
        <v>74</v>
      </c>
      <c r="C38" s="460"/>
      <c r="D38" s="461"/>
      <c r="E38" s="462" t="s">
        <v>75</v>
      </c>
      <c r="F38" s="462"/>
      <c r="G38" s="462"/>
      <c r="H38" s="462"/>
      <c r="I38" s="462"/>
      <c r="J38" s="462"/>
      <c r="K38" s="463"/>
    </row>
    <row r="39" spans="2:11" x14ac:dyDescent="0.25">
      <c r="B39" s="456"/>
      <c r="C39" s="464" t="s">
        <v>76</v>
      </c>
      <c r="D39" s="465"/>
      <c r="E39" s="60" t="s">
        <v>77</v>
      </c>
      <c r="F39" s="61" t="s">
        <v>78</v>
      </c>
      <c r="G39" s="61" t="s">
        <v>79</v>
      </c>
      <c r="H39" s="61" t="s">
        <v>80</v>
      </c>
      <c r="I39" s="61" t="s">
        <v>81</v>
      </c>
      <c r="J39" s="61" t="s">
        <v>82</v>
      </c>
      <c r="K39" s="62" t="s">
        <v>83</v>
      </c>
    </row>
    <row r="40" spans="2:11" ht="15.75" thickBot="1" x14ac:dyDescent="0.3">
      <c r="B40" s="457"/>
      <c r="C40" s="466" t="s">
        <v>84</v>
      </c>
      <c r="D40" s="467"/>
      <c r="E40" s="63" t="s">
        <v>85</v>
      </c>
      <c r="F40" s="64" t="s">
        <v>86</v>
      </c>
      <c r="G40" s="65" t="s">
        <v>46</v>
      </c>
      <c r="H40" s="66" t="s">
        <v>87</v>
      </c>
      <c r="I40" s="67" t="s">
        <v>15</v>
      </c>
      <c r="J40" s="68" t="s">
        <v>88</v>
      </c>
      <c r="K40" s="69" t="s">
        <v>89</v>
      </c>
    </row>
    <row r="41" spans="2:11" ht="15.75" thickBot="1" x14ac:dyDescent="0.3">
      <c r="B41" s="4"/>
      <c r="C41" s="70"/>
      <c r="D41" s="4"/>
      <c r="E41" s="4"/>
      <c r="F41" s="4"/>
      <c r="G41" s="4"/>
      <c r="H41" s="4"/>
      <c r="I41" s="4"/>
      <c r="J41" s="4"/>
      <c r="K41" s="4"/>
    </row>
    <row r="42" spans="2:11" x14ac:dyDescent="0.25">
      <c r="B42" s="455" t="s">
        <v>90</v>
      </c>
      <c r="C42" s="460"/>
      <c r="D42" s="461"/>
      <c r="E42" s="462" t="s">
        <v>91</v>
      </c>
      <c r="F42" s="462"/>
      <c r="G42" s="462"/>
      <c r="H42" s="462"/>
      <c r="I42" s="462"/>
      <c r="J42" s="462"/>
      <c r="K42" s="463"/>
    </row>
    <row r="43" spans="2:11" x14ac:dyDescent="0.25">
      <c r="B43" s="456"/>
      <c r="C43" s="472" t="s">
        <v>92</v>
      </c>
      <c r="D43" s="473"/>
      <c r="E43" s="61" t="s">
        <v>93</v>
      </c>
      <c r="F43" s="61" t="s">
        <v>94</v>
      </c>
      <c r="G43" s="61" t="s">
        <v>95</v>
      </c>
      <c r="H43" s="61" t="s">
        <v>96</v>
      </c>
      <c r="I43" s="61" t="s">
        <v>97</v>
      </c>
      <c r="J43" s="61" t="s">
        <v>98</v>
      </c>
      <c r="K43" s="62" t="s">
        <v>99</v>
      </c>
    </row>
    <row r="44" spans="2:11" ht="15.75" thickBot="1" x14ac:dyDescent="0.3">
      <c r="B44" s="457"/>
      <c r="C44" s="474" t="s">
        <v>84</v>
      </c>
      <c r="D44" s="475"/>
      <c r="E44" s="63" t="s">
        <v>85</v>
      </c>
      <c r="F44" s="64" t="s">
        <v>86</v>
      </c>
      <c r="G44" s="65" t="s">
        <v>46</v>
      </c>
      <c r="H44" s="66" t="s">
        <v>87</v>
      </c>
      <c r="I44" s="67" t="s">
        <v>15</v>
      </c>
      <c r="J44" s="68" t="s">
        <v>88</v>
      </c>
      <c r="K44" s="69" t="s">
        <v>89</v>
      </c>
    </row>
    <row r="45" spans="2:11" ht="15.75" thickBot="1" x14ac:dyDescent="0.3">
      <c r="B45" s="4"/>
      <c r="C45" s="70"/>
      <c r="D45" s="20"/>
      <c r="E45" s="71"/>
      <c r="F45" s="71"/>
      <c r="G45" s="13"/>
      <c r="H45" s="71"/>
      <c r="I45" s="13"/>
      <c r="J45" s="13"/>
      <c r="K45" s="71"/>
    </row>
    <row r="46" spans="2:11" x14ac:dyDescent="0.25">
      <c r="B46" s="455" t="s">
        <v>100</v>
      </c>
      <c r="C46" s="476" t="s">
        <v>101</v>
      </c>
      <c r="D46" s="477"/>
      <c r="E46" s="462" t="s">
        <v>102</v>
      </c>
      <c r="F46" s="462"/>
      <c r="G46" s="462"/>
      <c r="H46" s="462"/>
      <c r="I46" s="463"/>
      <c r="J46" s="13"/>
      <c r="K46" s="71"/>
    </row>
    <row r="47" spans="2:11" x14ac:dyDescent="0.25">
      <c r="B47" s="456"/>
      <c r="C47" s="478"/>
      <c r="D47" s="479"/>
      <c r="E47" s="480" t="s">
        <v>103</v>
      </c>
      <c r="F47" s="480"/>
      <c r="G47" s="480"/>
      <c r="H47" s="480"/>
      <c r="I47" s="481"/>
      <c r="J47" s="13"/>
      <c r="K47" s="71"/>
    </row>
    <row r="48" spans="2:11" x14ac:dyDescent="0.25">
      <c r="B48" s="456"/>
      <c r="C48" s="478"/>
      <c r="D48" s="479"/>
      <c r="E48" s="480" t="s">
        <v>104</v>
      </c>
      <c r="F48" s="480"/>
      <c r="G48" s="480"/>
      <c r="H48" s="480"/>
      <c r="I48" s="481"/>
      <c r="J48" s="13"/>
      <c r="K48" s="71"/>
    </row>
    <row r="49" spans="2:11" x14ac:dyDescent="0.25">
      <c r="B49" s="456"/>
      <c r="C49" s="478"/>
      <c r="D49" s="479"/>
      <c r="E49" s="72">
        <v>1</v>
      </c>
      <c r="F49" s="72">
        <v>2</v>
      </c>
      <c r="G49" s="61">
        <v>3</v>
      </c>
      <c r="H49" s="72">
        <v>4</v>
      </c>
      <c r="I49" s="62">
        <v>5</v>
      </c>
      <c r="J49" s="13"/>
      <c r="K49" s="71"/>
    </row>
    <row r="50" spans="2:11" x14ac:dyDescent="0.25">
      <c r="B50" s="456"/>
      <c r="C50" s="484" t="s">
        <v>85</v>
      </c>
      <c r="D50" s="485"/>
      <c r="E50" s="116">
        <f>0.56+(50*G60*1000)/($E$9*$E$6*G59*3600)</f>
        <v>2.2127777777777777</v>
      </c>
      <c r="F50" s="116">
        <f>0.56+(50*H60*1000)/($E$9*$E$6*H59*3600)</f>
        <v>1.2127777777777777</v>
      </c>
      <c r="G50" s="116">
        <f>0.56+(50*I60*1000)/($E$9*$E$6*I59*3600)</f>
        <v>0.76833333333333342</v>
      </c>
      <c r="H50" s="116">
        <f>0.56+(50*J60*1000)/($E$9*$E$6*J59*3600)</f>
        <v>0.65722222222222226</v>
      </c>
      <c r="I50" s="117">
        <f>0.56+(50*K60*1000)/($E$9*$E$6*K59*3600)</f>
        <v>0.60166666666666668</v>
      </c>
      <c r="J50" s="13"/>
      <c r="K50" s="71"/>
    </row>
    <row r="51" spans="2:11" x14ac:dyDescent="0.25">
      <c r="B51" s="456"/>
      <c r="C51" s="486" t="s">
        <v>86</v>
      </c>
      <c r="D51" s="487"/>
      <c r="E51" s="116">
        <f>0.84+(100*G60*1000)/($E$9*$E$6*G59*3600)</f>
        <v>4.1455555555555552</v>
      </c>
      <c r="F51" s="116">
        <f>0.84+(100*H60*1000)/($E$9*$E$6*H59*3600)</f>
        <v>2.1455555555555557</v>
      </c>
      <c r="G51" s="116">
        <f>0.84+(100*I60*1000)/($E$9*$E$6*I59*3600)</f>
        <v>1.2566666666666666</v>
      </c>
      <c r="H51" s="116">
        <f>0.84+(100*J60*1000)/($E$9*$E$6*J59*3600)</f>
        <v>1.0344444444444445</v>
      </c>
      <c r="I51" s="117">
        <f>0.84+(100*K60*1000)/($E$9*$E$6*K59*3600)</f>
        <v>0.92333333333333334</v>
      </c>
      <c r="J51" s="13"/>
      <c r="K51" s="71"/>
    </row>
    <row r="52" spans="2:11" x14ac:dyDescent="0.25">
      <c r="B52" s="456"/>
      <c r="C52" s="488" t="s">
        <v>46</v>
      </c>
      <c r="D52" s="489"/>
      <c r="E52" s="116">
        <f>1.26+(200*G60*1000)/($E$9*$E$6*G59*3600)</f>
        <v>7.8711111111111105</v>
      </c>
      <c r="F52" s="116">
        <f>1.26+(200*H60*1000)/($E$9*$E$6*H59*3600)</f>
        <v>3.8711111111111114</v>
      </c>
      <c r="G52" s="116">
        <f>1.26+(200*I60*1000)/($E$9*$E$6*I59*3600)</f>
        <v>2.0933333333333333</v>
      </c>
      <c r="H52" s="116">
        <f>1.26+(200*J60*1000)/($E$9*$E$6*J59*3600)</f>
        <v>1.6488888888888888</v>
      </c>
      <c r="I52" s="117">
        <f>1.26+(200*K60*1000)/($E$9*$E$6*K59*3600)</f>
        <v>1.4266666666666667</v>
      </c>
      <c r="J52" s="13"/>
      <c r="K52" s="71"/>
    </row>
    <row r="53" spans="2:11" x14ac:dyDescent="0.25">
      <c r="B53" s="456"/>
      <c r="C53" s="453" t="s">
        <v>87</v>
      </c>
      <c r="D53" s="454"/>
      <c r="E53" s="116">
        <f>1.89+(400*G60*1000)/($E$9*$E$6*G59*3600)</f>
        <v>15.112222222222222</v>
      </c>
      <c r="F53" s="116">
        <f>1.89+(400*H60*1000)/($E$9*$E$6*H59*3600)</f>
        <v>7.112222222222222</v>
      </c>
      <c r="G53" s="116">
        <f>1.89+(400*I60*1000)/($E$9*$E$6*I59*3600)</f>
        <v>3.5566666666666666</v>
      </c>
      <c r="H53" s="116">
        <f>1.89+(400*J60*1000)/($E$9*$E$6*J59*3600)</f>
        <v>2.6677777777777778</v>
      </c>
      <c r="I53" s="117">
        <f>1.89+(400*K60*1000)/($E$9*$E$6*K59*3600)</f>
        <v>2.2233333333333332</v>
      </c>
      <c r="J53" s="13"/>
      <c r="K53" s="71"/>
    </row>
    <row r="54" spans="2:11" x14ac:dyDescent="0.25">
      <c r="B54" s="456"/>
      <c r="C54" s="468" t="s">
        <v>15</v>
      </c>
      <c r="D54" s="469"/>
      <c r="E54" s="116">
        <f>2.8+(800*G60*1000)/($E$9*$E$6*G59*3600)</f>
        <v>29.244444444444444</v>
      </c>
      <c r="F54" s="116">
        <f>2.8+(800*H60*1000)/($E$9*$E$6*H59*3600)</f>
        <v>13.244444444444444</v>
      </c>
      <c r="G54" s="116">
        <f>2.8+(800*I60*1000)/($E$9*$E$6*I59*3600)</f>
        <v>6.1333333333333329</v>
      </c>
      <c r="H54" s="116">
        <f>2.8+(800*J60*1000)/($E$9*$E$6*J59*3600)</f>
        <v>4.3555555555555552</v>
      </c>
      <c r="I54" s="117">
        <f>2.8+(800*K60*1000)/($E$9*$E$6*K59*3600)</f>
        <v>3.4666666666666663</v>
      </c>
      <c r="J54" s="13"/>
      <c r="K54" s="71"/>
    </row>
    <row r="55" spans="2:11" x14ac:dyDescent="0.25">
      <c r="B55" s="456"/>
      <c r="C55" s="470" t="s">
        <v>88</v>
      </c>
      <c r="D55" s="471"/>
      <c r="E55" s="116">
        <f>4.2+(1600*G60*1000)/($E$9*$E$6*G59*3600)</f>
        <v>57.088888888888889</v>
      </c>
      <c r="F55" s="116">
        <f>4.2+(1600*H60*1000)/($E$9*$E$6*H59*3600)</f>
        <v>25.088888888888889</v>
      </c>
      <c r="G55" s="116">
        <f>4.2+(1600*I60*1000)/($E$9*$E$6*I59*3600)</f>
        <v>10.866666666666667</v>
      </c>
      <c r="H55" s="116">
        <f>4.2+(1600*J60*1000)/($E$9*$E$6*J59*3600)</f>
        <v>7.3111111111111118</v>
      </c>
      <c r="I55" s="117">
        <f>4.2+(1600*K60*1000)/($E$9*$E$6*K59*3600)</f>
        <v>5.5333333333333332</v>
      </c>
      <c r="J55" s="13"/>
      <c r="K55" s="71"/>
    </row>
    <row r="56" spans="2:11" ht="15.75" thickBot="1" x14ac:dyDescent="0.3">
      <c r="B56" s="457"/>
      <c r="C56" s="482" t="s">
        <v>89</v>
      </c>
      <c r="D56" s="483"/>
      <c r="E56" s="118">
        <f>4.2+(1600*G60*1000)/($E$9*$E$6*G59*3600)</f>
        <v>57.088888888888889</v>
      </c>
      <c r="F56" s="118">
        <f>4.2+(1600*H60*1000)/($E$9*$E$6*H59*3600)</f>
        <v>25.088888888888889</v>
      </c>
      <c r="G56" s="118">
        <f>4.2+(1600*I60*1000)/($E$9*$E$6*I59*3600)</f>
        <v>10.866666666666667</v>
      </c>
      <c r="H56" s="118">
        <f>4.2+(1600*J60*1000)/($E$9*$E$6*J59*3600)</f>
        <v>7.3111111111111118</v>
      </c>
      <c r="I56" s="119">
        <f>4.2+(1600*K60*1000)/($E$9*$E$6*K59*3600)</f>
        <v>5.5333333333333332</v>
      </c>
      <c r="J56" s="13"/>
      <c r="K56" s="71"/>
    </row>
    <row r="57" spans="2:11" ht="15.75" thickBot="1" x14ac:dyDescent="0.3">
      <c r="B57" s="4"/>
      <c r="C57" s="70"/>
      <c r="D57" s="20"/>
      <c r="E57" s="71"/>
      <c r="F57" s="71"/>
      <c r="G57" s="13"/>
      <c r="H57" s="71"/>
      <c r="I57" s="13"/>
      <c r="J57" s="13"/>
      <c r="K57" s="71"/>
    </row>
    <row r="58" spans="2:11" x14ac:dyDescent="0.25">
      <c r="B58" s="455" t="s">
        <v>105</v>
      </c>
      <c r="C58" s="490" t="s">
        <v>104</v>
      </c>
      <c r="D58" s="491"/>
      <c r="E58" s="73"/>
      <c r="F58" s="73"/>
      <c r="G58" s="74">
        <v>1</v>
      </c>
      <c r="H58" s="75">
        <v>2</v>
      </c>
      <c r="I58" s="75">
        <v>3</v>
      </c>
      <c r="J58" s="76">
        <v>4</v>
      </c>
      <c r="K58" s="77">
        <v>5</v>
      </c>
    </row>
    <row r="59" spans="2:11" x14ac:dyDescent="0.25">
      <c r="B59" s="456"/>
      <c r="C59" s="492" t="s">
        <v>106</v>
      </c>
      <c r="D59" s="493"/>
      <c r="E59" s="494" t="s">
        <v>107</v>
      </c>
      <c r="F59" s="495"/>
      <c r="G59" s="61">
        <v>0.2</v>
      </c>
      <c r="H59" s="61">
        <v>0.5</v>
      </c>
      <c r="I59" s="20">
        <v>1.5</v>
      </c>
      <c r="J59" s="61">
        <v>3</v>
      </c>
      <c r="K59" s="78">
        <v>6</v>
      </c>
    </row>
    <row r="60" spans="2:11" ht="15.75" thickBot="1" x14ac:dyDescent="0.3">
      <c r="B60" s="457"/>
      <c r="C60" s="496" t="s">
        <v>106</v>
      </c>
      <c r="D60" s="497"/>
      <c r="E60" s="498" t="s">
        <v>161</v>
      </c>
      <c r="F60" s="499"/>
      <c r="G60" s="79">
        <v>23.8</v>
      </c>
      <c r="H60" s="80">
        <v>23.5</v>
      </c>
      <c r="I60" s="80">
        <v>22.5</v>
      </c>
      <c r="J60" s="79">
        <v>21</v>
      </c>
      <c r="K60" s="81">
        <v>18</v>
      </c>
    </row>
    <row r="65" spans="13:22" x14ac:dyDescent="0.25">
      <c r="M65" s="84" t="s">
        <v>598</v>
      </c>
      <c r="N65" s="336">
        <v>1</v>
      </c>
      <c r="O65" s="336"/>
      <c r="P65" s="336">
        <v>2</v>
      </c>
      <c r="Q65" s="336"/>
      <c r="R65" s="336">
        <v>3</v>
      </c>
      <c r="S65" s="336"/>
      <c r="T65" s="336">
        <v>4</v>
      </c>
      <c r="U65" s="336"/>
      <c r="V65" s="336">
        <v>5</v>
      </c>
    </row>
    <row r="66" spans="13:22" x14ac:dyDescent="0.25">
      <c r="M66" s="84"/>
      <c r="N66" s="336" t="str">
        <f>INDEX(M67:N72,MATCH($E$16,N67:N72,-1),1)</f>
        <v>B</v>
      </c>
      <c r="O66" s="336"/>
      <c r="P66" s="336" t="str">
        <f>INDEX(O67:P72,MATCH($E$16,P67:P72,-1),1)</f>
        <v>C</v>
      </c>
      <c r="Q66" s="336"/>
      <c r="R66" s="336" t="str">
        <f>INDEX(Q67:R72,MATCH($E$16,R67:R72,-1),1)</f>
        <v>D</v>
      </c>
      <c r="S66" s="336"/>
      <c r="T66" s="336" t="str">
        <f>INDEX(S67:T72,MATCH($E$16,T67:T72,-1),1)</f>
        <v>D</v>
      </c>
      <c r="U66" s="336"/>
      <c r="V66" s="336" t="str">
        <f>INDEX(U67:V72,MATCH($E$16,V67:V72,-1),1)</f>
        <v>E</v>
      </c>
    </row>
    <row r="67" spans="13:22" x14ac:dyDescent="0.25">
      <c r="M67" s="336" t="s">
        <v>88</v>
      </c>
      <c r="N67" s="86">
        <f t="array" ref="N67:N72">_xlfn._xlws.SORT(E50:E55,1,-1)</f>
        <v>57.088888888888889</v>
      </c>
      <c r="O67" s="336" t="s">
        <v>88</v>
      </c>
      <c r="P67" s="86">
        <f t="array" ref="P67:P72">_xlfn._xlws.SORT(F50:F55,1,-1)</f>
        <v>25.088888888888889</v>
      </c>
      <c r="Q67" s="336" t="s">
        <v>88</v>
      </c>
      <c r="R67" s="86">
        <f t="array" ref="R67:R72">_xlfn._xlws.SORT(G50:G55,1,-1)</f>
        <v>10.866666666666667</v>
      </c>
      <c r="S67" s="336" t="s">
        <v>88</v>
      </c>
      <c r="T67" s="86">
        <f t="array" ref="T67:T72">_xlfn._xlws.SORT(H50:H55,1,-1)</f>
        <v>7.3111111111111118</v>
      </c>
      <c r="U67" s="336" t="s">
        <v>88</v>
      </c>
      <c r="V67" s="86">
        <f t="array" ref="V67:V72">_xlfn._xlws.SORT(I50:I55,1,-1)</f>
        <v>5.5333333333333332</v>
      </c>
    </row>
    <row r="68" spans="13:22" x14ac:dyDescent="0.25">
      <c r="M68" s="336" t="s">
        <v>15</v>
      </c>
      <c r="N68" s="86">
        <v>29.244444444444444</v>
      </c>
      <c r="O68" s="336" t="s">
        <v>15</v>
      </c>
      <c r="P68" s="86">
        <v>13.244444444444444</v>
      </c>
      <c r="Q68" s="336" t="s">
        <v>15</v>
      </c>
      <c r="R68" s="86">
        <v>6.1333333333333329</v>
      </c>
      <c r="S68" s="336" t="s">
        <v>15</v>
      </c>
      <c r="T68" s="86">
        <v>4.3555555555555552</v>
      </c>
      <c r="U68" s="336" t="s">
        <v>15</v>
      </c>
      <c r="V68" s="86">
        <v>3.4666666666666663</v>
      </c>
    </row>
    <row r="69" spans="13:22" x14ac:dyDescent="0.25">
      <c r="M69" s="336" t="s">
        <v>87</v>
      </c>
      <c r="N69" s="86">
        <v>15.112222222222222</v>
      </c>
      <c r="O69" s="336" t="s">
        <v>87</v>
      </c>
      <c r="P69" s="86">
        <v>7.112222222222222</v>
      </c>
      <c r="Q69" s="336" t="s">
        <v>87</v>
      </c>
      <c r="R69" s="86">
        <v>3.5566666666666666</v>
      </c>
      <c r="S69" s="336" t="s">
        <v>87</v>
      </c>
      <c r="T69" s="86">
        <v>2.6677777777777778</v>
      </c>
      <c r="U69" s="336" t="s">
        <v>87</v>
      </c>
      <c r="V69" s="86">
        <v>2.2233333333333332</v>
      </c>
    </row>
    <row r="70" spans="13:22" x14ac:dyDescent="0.25">
      <c r="M70" s="336" t="s">
        <v>46</v>
      </c>
      <c r="N70" s="86">
        <v>7.8711111111111105</v>
      </c>
      <c r="O70" s="336" t="s">
        <v>46</v>
      </c>
      <c r="P70" s="86">
        <v>3.8711111111111114</v>
      </c>
      <c r="Q70" s="336" t="s">
        <v>46</v>
      </c>
      <c r="R70" s="86">
        <v>2.0933333333333333</v>
      </c>
      <c r="S70" s="336" t="s">
        <v>46</v>
      </c>
      <c r="T70" s="86">
        <v>1.6488888888888888</v>
      </c>
      <c r="U70" s="336" t="s">
        <v>46</v>
      </c>
      <c r="V70" s="86">
        <v>1.4266666666666667</v>
      </c>
    </row>
    <row r="71" spans="13:22" x14ac:dyDescent="0.25">
      <c r="M71" s="336" t="s">
        <v>86</v>
      </c>
      <c r="N71" s="86">
        <v>4.1455555555555552</v>
      </c>
      <c r="O71" s="336" t="s">
        <v>86</v>
      </c>
      <c r="P71" s="86">
        <v>2.1455555555555557</v>
      </c>
      <c r="Q71" s="336" t="s">
        <v>86</v>
      </c>
      <c r="R71" s="86">
        <v>1.2566666666666666</v>
      </c>
      <c r="S71" s="336" t="s">
        <v>86</v>
      </c>
      <c r="T71" s="86">
        <v>1.0344444444444445</v>
      </c>
      <c r="U71" s="336" t="s">
        <v>86</v>
      </c>
      <c r="V71" s="86">
        <v>0.92333333333333334</v>
      </c>
    </row>
    <row r="72" spans="13:22" x14ac:dyDescent="0.25">
      <c r="M72" s="336" t="s">
        <v>85</v>
      </c>
      <c r="N72" s="86">
        <v>2.2127777777777777</v>
      </c>
      <c r="O72" s="336" t="s">
        <v>85</v>
      </c>
      <c r="P72" s="86">
        <v>1.2127777777777777</v>
      </c>
      <c r="Q72" s="336" t="s">
        <v>85</v>
      </c>
      <c r="R72" s="86">
        <v>0.76833333333333342</v>
      </c>
      <c r="S72" s="336" t="s">
        <v>85</v>
      </c>
      <c r="T72" s="86">
        <v>0.65722222222222226</v>
      </c>
      <c r="U72" s="336" t="s">
        <v>85</v>
      </c>
      <c r="V72" s="86">
        <v>0.60166666666666668</v>
      </c>
    </row>
  </sheetData>
  <sheetProtection algorithmName="SHA-512" hashValue="h21bGxoknCbwkHmXVWcWac4MwTFRksktbHVF1bTsVZ98IqrJJDCjjEGnD0CSgWmU3xEm/Q0k4/x4n0mSz6tPgw==" saltValue="SKmYbh/A3f2h0/WtRcuDEA==" spinCount="100000" sheet="1" objects="1" scenarios="1"/>
  <mergeCells count="31">
    <mergeCell ref="B58:B60"/>
    <mergeCell ref="C58:D58"/>
    <mergeCell ref="C59:D59"/>
    <mergeCell ref="E59:F59"/>
    <mergeCell ref="C60:D60"/>
    <mergeCell ref="E60:F60"/>
    <mergeCell ref="C54:D54"/>
    <mergeCell ref="C55:D55"/>
    <mergeCell ref="B42:B44"/>
    <mergeCell ref="C42:D42"/>
    <mergeCell ref="E42:K42"/>
    <mergeCell ref="C43:D43"/>
    <mergeCell ref="C44:D44"/>
    <mergeCell ref="B46:B56"/>
    <mergeCell ref="C46:D49"/>
    <mergeCell ref="E46:I46"/>
    <mergeCell ref="E47:I47"/>
    <mergeCell ref="C56:D56"/>
    <mergeCell ref="E48:I48"/>
    <mergeCell ref="C50:D50"/>
    <mergeCell ref="C51:D51"/>
    <mergeCell ref="C52:D52"/>
    <mergeCell ref="C53:D53"/>
    <mergeCell ref="B3:B34"/>
    <mergeCell ref="G3:H3"/>
    <mergeCell ref="D36:K36"/>
    <mergeCell ref="B38:B40"/>
    <mergeCell ref="C38:D38"/>
    <mergeCell ref="E38:K38"/>
    <mergeCell ref="C39:D39"/>
    <mergeCell ref="C40:D40"/>
  </mergeCells>
  <conditionalFormatting sqref="E13">
    <cfRule type="containsText" dxfId="7" priority="8" stopIfTrue="1" operator="containsText" text="A">
      <formula>NOT(ISERROR(SEARCH("A",E13)))</formula>
    </cfRule>
  </conditionalFormatting>
  <conditionalFormatting sqref="E49:I49">
    <cfRule type="cellIs" dxfId="6" priority="4" stopIfTrue="1" operator="equal">
      <formula>$D$21</formula>
    </cfRule>
  </conditionalFormatting>
  <conditionalFormatting sqref="E50:I51">
    <cfRule type="expression" dxfId="5" priority="2" stopIfTrue="1">
      <formula>AND($D$21=E$51,0&lt;$D$18,E50&gt;=$D$18)</formula>
    </cfRule>
  </conditionalFormatting>
  <conditionalFormatting sqref="E52:I55">
    <cfRule type="expression" dxfId="4" priority="3" stopIfTrue="1">
      <formula>AND($D$21=E$51,E51&lt;$D$18,E52&gt;=$D$18)</formula>
    </cfRule>
  </conditionalFormatting>
  <conditionalFormatting sqref="E56:I56">
    <cfRule type="expression" dxfId="3" priority="1" stopIfTrue="1">
      <formula>AND($D$21=E$51,E56&lt;$D$18)</formula>
    </cfRule>
  </conditionalFormatting>
  <conditionalFormatting sqref="E40:K40">
    <cfRule type="cellIs" dxfId="2" priority="7" stopIfTrue="1" operator="equal">
      <formula>$D$15</formula>
    </cfRule>
  </conditionalFormatting>
  <conditionalFormatting sqref="E44:K44">
    <cfRule type="cellIs" dxfId="1" priority="6" stopIfTrue="1" operator="equal">
      <formula>$D$17</formula>
    </cfRule>
  </conditionalFormatting>
  <conditionalFormatting sqref="G58:K58">
    <cfRule type="cellIs" dxfId="0" priority="5" stopIfTrue="1" operator="equal">
      <formula>$D$21</formula>
    </cfRule>
  </conditionalFormatting>
  <dataValidations count="2">
    <dataValidation errorStyle="information" allowBlank="1" showErrorMessage="1" errorTitle="Lastfaktor" error="• 0,7 bei Aufzügen mit Gegenwicht (Fahrkorbmasse plus 40 % bis 50 % der Nennlast)_x000a_• 1,2 bei Aufzügen ohne Ausgleichsgewicht oder mit Ausgleichsgewicht mit einer Masse von max. 30 % des Fahrkorbgewichts" sqref="E10" xr:uid="{90F9B63B-470E-49F8-A628-EAC3B67C8358}"/>
    <dataValidation errorStyle="information" allowBlank="1" showErrorMessage="1" errorTitle="Nutzungskategorie" error="1: sehr selten_x000a_2: selten_x000a_3: gelegentlich_x000a_4: häufig_x000a_5: sehr häufig" sqref="E19" xr:uid="{F1055685-B675-43A8-B9F4-4EEBEF4CB777}"/>
  </dataValidations>
  <pageMargins left="0.7" right="0.7" top="0.78740157499999996" bottom="0.78740157499999996"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8456F3-8F7E-482B-9225-86A1F5E1DA03}">
  <sheetPr>
    <tabColor rgb="FF7030A0"/>
  </sheetPr>
  <dimension ref="A1:Z42"/>
  <sheetViews>
    <sheetView topLeftCell="B1" workbookViewId="0">
      <selection activeCell="F30" sqref="F30"/>
    </sheetView>
  </sheetViews>
  <sheetFormatPr baseColWidth="10" defaultColWidth="11.42578125" defaultRowHeight="15" x14ac:dyDescent="0.25"/>
  <cols>
    <col min="1" max="1" width="8.28515625" style="84" customWidth="1"/>
    <col min="2" max="4" width="11.42578125" style="84"/>
    <col min="5" max="5" width="12.5703125" style="84" customWidth="1"/>
    <col min="6" max="8" width="11.42578125" style="84"/>
    <col min="9" max="9" width="12" style="84" bestFit="1" customWidth="1"/>
    <col min="10" max="10" width="11" style="84" bestFit="1" customWidth="1"/>
    <col min="11" max="13" width="12" style="84" bestFit="1" customWidth="1"/>
    <col min="14" max="16" width="11" style="84" bestFit="1" customWidth="1"/>
    <col min="17" max="18" width="11.7109375" style="84" customWidth="1"/>
    <col min="19" max="23" width="11" style="84" bestFit="1" customWidth="1"/>
    <col min="24" max="24" width="1.140625" style="84" customWidth="1"/>
    <col min="25" max="26" width="11.5703125" style="84" bestFit="1" customWidth="1"/>
    <col min="27" max="16384" width="11.42578125" style="84"/>
  </cols>
  <sheetData>
    <row r="1" spans="1:26" ht="18.75" x14ac:dyDescent="0.3">
      <c r="A1" s="500" t="s">
        <v>298</v>
      </c>
      <c r="B1" s="370"/>
      <c r="C1" s="370"/>
      <c r="D1" s="370"/>
      <c r="E1" s="370"/>
      <c r="F1" s="370"/>
      <c r="G1" s="370"/>
    </row>
    <row r="3" spans="1:26" x14ac:dyDescent="0.25">
      <c r="B3" s="82" t="s">
        <v>299</v>
      </c>
      <c r="C3" s="82"/>
    </row>
    <row r="4" spans="1:26" x14ac:dyDescent="0.25">
      <c r="B4" s="82" t="s">
        <v>457</v>
      </c>
      <c r="C4" s="82"/>
      <c r="D4" s="82"/>
      <c r="E4" s="82"/>
      <c r="F4" s="82"/>
      <c r="G4" s="82">
        <v>1.0149999999999999</v>
      </c>
      <c r="H4" s="1"/>
      <c r="Y4" s="85"/>
    </row>
    <row r="5" spans="1:26" x14ac:dyDescent="0.25">
      <c r="B5" s="82" t="s">
        <v>461</v>
      </c>
      <c r="C5" s="82"/>
      <c r="D5" s="82"/>
      <c r="E5" s="82"/>
      <c r="F5" s="82"/>
      <c r="G5" s="82">
        <v>1.0249999999999999</v>
      </c>
      <c r="H5" s="1"/>
      <c r="Y5" s="85"/>
    </row>
    <row r="6" spans="1:26" x14ac:dyDescent="0.25">
      <c r="B6" s="82" t="s">
        <v>456</v>
      </c>
      <c r="C6" s="82"/>
      <c r="D6" s="82"/>
      <c r="E6" s="82"/>
      <c r="F6" s="82"/>
      <c r="G6" s="82">
        <v>1.03</v>
      </c>
      <c r="H6" s="1"/>
      <c r="Y6" s="85"/>
    </row>
    <row r="7" spans="1:26" x14ac:dyDescent="0.25">
      <c r="B7" s="82" t="s">
        <v>458</v>
      </c>
      <c r="C7" s="82"/>
      <c r="D7" s="82"/>
      <c r="E7" s="82"/>
      <c r="F7" s="82"/>
      <c r="G7" s="82">
        <v>1.0249999999999999</v>
      </c>
      <c r="H7" s="1"/>
      <c r="Y7" s="85"/>
    </row>
    <row r="8" spans="1:26" x14ac:dyDescent="0.25">
      <c r="B8" s="82" t="s">
        <v>459</v>
      </c>
      <c r="C8" s="82"/>
      <c r="D8" s="82"/>
      <c r="E8" s="82"/>
      <c r="F8" s="82"/>
      <c r="G8" s="82">
        <v>1.0249999999999999</v>
      </c>
      <c r="H8" s="1"/>
      <c r="Y8" s="85"/>
    </row>
    <row r="9" spans="1:26" x14ac:dyDescent="0.25">
      <c r="B9" s="82" t="s">
        <v>460</v>
      </c>
      <c r="C9" s="82"/>
      <c r="D9" s="82"/>
      <c r="E9" s="82"/>
      <c r="F9" s="82"/>
      <c r="G9" s="82">
        <v>1.04</v>
      </c>
      <c r="H9" s="1"/>
      <c r="Y9" s="85"/>
    </row>
    <row r="10" spans="1:26" s="1" customFormat="1" x14ac:dyDescent="0.25">
      <c r="Y10" s="209"/>
    </row>
    <row r="11" spans="1:26" s="1" customFormat="1" x14ac:dyDescent="0.25">
      <c r="B11" s="210" t="s">
        <v>463</v>
      </c>
      <c r="K11" s="232">
        <f>SUM(Y22+I28+J27+K28+L27+I26+I25+J26+J25+K26+K25+L26+L25)</f>
        <v>10199.823994999999</v>
      </c>
      <c r="L11" s="218" t="s">
        <v>16</v>
      </c>
      <c r="Y11" s="209"/>
    </row>
    <row r="12" spans="1:26" x14ac:dyDescent="0.25">
      <c r="B12" s="210" t="s">
        <v>467</v>
      </c>
      <c r="J12" s="95"/>
      <c r="K12" s="233">
        <f>L37</f>
        <v>39806.20144635842</v>
      </c>
      <c r="L12" s="218" t="s">
        <v>16</v>
      </c>
      <c r="M12" s="95"/>
      <c r="N12" s="95"/>
      <c r="O12" s="95"/>
      <c r="P12" s="95"/>
      <c r="Q12" s="95"/>
      <c r="R12" s="95"/>
      <c r="S12" s="95"/>
      <c r="T12" s="95"/>
      <c r="U12" s="95"/>
      <c r="V12" s="95"/>
      <c r="W12" s="95"/>
      <c r="X12" s="95"/>
      <c r="Y12" s="95" t="s">
        <v>111</v>
      </c>
      <c r="Z12" s="95"/>
    </row>
    <row r="13" spans="1:26" x14ac:dyDescent="0.25">
      <c r="B13" s="87" t="s">
        <v>466</v>
      </c>
      <c r="J13" s="95"/>
      <c r="K13" s="233">
        <f>SUM(Y24+M25+N25+O25+P25+Q25+R25+S25+T25+U25+V25+W25+M26+N26+O26+P26+Q26+R26+S26+T26+U26+V26+W26)</f>
        <v>45606.425233503469</v>
      </c>
      <c r="L13" s="218" t="s">
        <v>16</v>
      </c>
      <c r="M13" s="95"/>
      <c r="N13" s="95"/>
      <c r="O13" s="95"/>
      <c r="P13" s="95"/>
      <c r="Q13" s="95"/>
      <c r="R13" s="95"/>
      <c r="S13" s="95"/>
      <c r="T13" s="95"/>
      <c r="U13" s="95"/>
      <c r="V13" s="95"/>
      <c r="W13" s="95"/>
      <c r="X13" s="95"/>
      <c r="Y13" s="96"/>
      <c r="Z13" s="95"/>
    </row>
    <row r="14" spans="1:26" x14ac:dyDescent="0.25">
      <c r="B14" s="87"/>
      <c r="I14" s="96"/>
      <c r="J14" s="95"/>
      <c r="K14" s="234"/>
      <c r="L14" s="234"/>
      <c r="M14" s="95"/>
      <c r="N14" s="95"/>
      <c r="O14" s="95"/>
      <c r="P14" s="95"/>
      <c r="Q14" s="95"/>
      <c r="R14" s="95"/>
      <c r="S14" s="95"/>
      <c r="T14" s="95"/>
      <c r="U14" s="95"/>
      <c r="V14" s="95"/>
      <c r="W14" s="95"/>
      <c r="X14" s="95"/>
      <c r="Y14" s="96"/>
      <c r="Z14" s="95"/>
    </row>
    <row r="15" spans="1:26" x14ac:dyDescent="0.25">
      <c r="B15" s="210" t="s">
        <v>464</v>
      </c>
      <c r="J15" s="95"/>
      <c r="K15" s="233">
        <f>SUM(V35)</f>
        <v>12993.902644999998</v>
      </c>
      <c r="L15" s="218" t="s">
        <v>16</v>
      </c>
      <c r="M15" s="95"/>
      <c r="N15" s="95"/>
      <c r="O15" s="95"/>
      <c r="P15" s="95"/>
      <c r="Q15" s="95"/>
      <c r="R15" s="95"/>
      <c r="S15" s="95"/>
      <c r="T15" s="95"/>
      <c r="U15" s="95"/>
      <c r="V15" s="95"/>
      <c r="W15" s="95"/>
      <c r="X15" s="95"/>
      <c r="Y15" s="96"/>
      <c r="Z15" s="95"/>
    </row>
    <row r="16" spans="1:26" x14ac:dyDescent="0.25">
      <c r="B16" s="210" t="s">
        <v>468</v>
      </c>
      <c r="J16" s="95"/>
      <c r="K16" s="233">
        <f>SUM(L37+S37)</f>
        <v>50760.359828659435</v>
      </c>
      <c r="L16" s="218" t="s">
        <v>16</v>
      </c>
      <c r="M16" s="95"/>
      <c r="N16" s="95"/>
      <c r="O16" s="95"/>
      <c r="P16" s="95"/>
      <c r="Q16" s="95"/>
      <c r="R16" s="95"/>
      <c r="S16" s="95"/>
      <c r="T16" s="95"/>
      <c r="U16" s="95"/>
      <c r="V16" s="95"/>
      <c r="W16" s="95"/>
      <c r="X16" s="95"/>
      <c r="Y16" s="96"/>
      <c r="Z16" s="95"/>
    </row>
    <row r="17" spans="1:26" x14ac:dyDescent="0.25">
      <c r="B17" s="210" t="s">
        <v>492</v>
      </c>
      <c r="I17" s="96"/>
      <c r="J17" s="95"/>
      <c r="K17" s="233">
        <f>V37</f>
        <v>97979.724877444736</v>
      </c>
      <c r="L17" s="218" t="s">
        <v>16</v>
      </c>
      <c r="M17" s="95"/>
      <c r="N17" s="95"/>
      <c r="O17" s="95"/>
      <c r="P17" s="95"/>
      <c r="Q17" s="95"/>
      <c r="R17" s="95"/>
      <c r="S17" s="95"/>
      <c r="T17" s="95"/>
      <c r="U17" s="95"/>
      <c r="V17" s="95"/>
      <c r="W17" s="95"/>
      <c r="X17" s="95"/>
      <c r="Y17" s="96"/>
      <c r="Z17" s="95"/>
    </row>
    <row r="18" spans="1:26" x14ac:dyDescent="0.25">
      <c r="B18" s="210" t="s">
        <v>493</v>
      </c>
      <c r="I18" s="95"/>
      <c r="J18" s="95"/>
      <c r="K18" s="233">
        <f>SUM(K16+Komponenten!Z18+Komponenten!Z29)</f>
        <v>80658.131569262943</v>
      </c>
      <c r="L18" s="218" t="s">
        <v>16</v>
      </c>
      <c r="M18" s="95"/>
      <c r="N18" s="95"/>
      <c r="O18" s="95"/>
      <c r="P18" s="95"/>
      <c r="Q18" s="95"/>
      <c r="R18" s="95"/>
      <c r="S18" s="95"/>
      <c r="T18" s="95"/>
      <c r="U18" s="95"/>
      <c r="V18" s="95"/>
      <c r="W18" s="95"/>
      <c r="X18" s="95"/>
      <c r="Y18" s="96"/>
      <c r="Z18" s="95"/>
    </row>
    <row r="19" spans="1:26" x14ac:dyDescent="0.25">
      <c r="B19" s="87" t="s">
        <v>465</v>
      </c>
      <c r="I19" s="95"/>
      <c r="J19" s="95"/>
      <c r="K19" s="233">
        <f>V36</f>
        <v>56560.583615804484</v>
      </c>
      <c r="L19" s="218" t="s">
        <v>16</v>
      </c>
      <c r="M19" s="95"/>
      <c r="N19" s="95"/>
      <c r="O19" s="95"/>
      <c r="P19" s="95"/>
      <c r="Q19" s="95"/>
      <c r="R19" s="95"/>
      <c r="S19" s="95"/>
      <c r="T19" s="95"/>
      <c r="U19" s="95"/>
      <c r="V19" s="95"/>
      <c r="W19" s="95"/>
      <c r="X19" s="95"/>
      <c r="Y19" s="96"/>
      <c r="Z19" s="95"/>
    </row>
    <row r="21" spans="1:26" x14ac:dyDescent="0.25">
      <c r="I21" s="221" t="s">
        <v>144</v>
      </c>
      <c r="J21" s="221" t="s">
        <v>145</v>
      </c>
      <c r="K21" s="221" t="s">
        <v>146</v>
      </c>
      <c r="L21" s="221" t="s">
        <v>147</v>
      </c>
      <c r="M21" s="221" t="s">
        <v>148</v>
      </c>
      <c r="N21" s="221" t="s">
        <v>149</v>
      </c>
      <c r="O21" s="221" t="s">
        <v>150</v>
      </c>
      <c r="P21" s="221" t="s">
        <v>151</v>
      </c>
      <c r="Q21" s="221" t="s">
        <v>152</v>
      </c>
      <c r="R21" s="221" t="s">
        <v>153</v>
      </c>
      <c r="S21" s="221" t="s">
        <v>154</v>
      </c>
      <c r="T21" s="221" t="s">
        <v>155</v>
      </c>
      <c r="U21" s="221" t="s">
        <v>156</v>
      </c>
      <c r="V21" s="221" t="s">
        <v>157</v>
      </c>
      <c r="W21" s="221" t="s">
        <v>158</v>
      </c>
      <c r="Y21" s="222" t="s">
        <v>159</v>
      </c>
      <c r="Z21" s="166"/>
    </row>
    <row r="22" spans="1:26" x14ac:dyDescent="0.25">
      <c r="A22" s="99" t="s">
        <v>196</v>
      </c>
      <c r="B22" s="101" t="s">
        <v>248</v>
      </c>
      <c r="C22" s="101"/>
      <c r="D22" s="101"/>
      <c r="E22" s="101"/>
      <c r="F22" s="100"/>
      <c r="G22" s="175">
        <f>'B-Angaben Bieter'!I12</f>
        <v>800</v>
      </c>
      <c r="H22" s="84" t="s">
        <v>16</v>
      </c>
      <c r="I22" s="231">
        <f>SUM(G22)</f>
        <v>800</v>
      </c>
      <c r="J22" s="231">
        <f>SUM(G22*(G4)^1)</f>
        <v>811.99999999999989</v>
      </c>
      <c r="K22" s="231">
        <f>SUM(G22*(G4)^2)</f>
        <v>824.17999999999984</v>
      </c>
      <c r="L22" s="231">
        <f>SUM(G22*(G4)^3)</f>
        <v>836.54269999999974</v>
      </c>
      <c r="M22" s="231"/>
      <c r="N22" s="231"/>
      <c r="O22" s="231"/>
      <c r="P22" s="231"/>
      <c r="Q22" s="231"/>
      <c r="R22" s="231"/>
      <c r="S22" s="231"/>
      <c r="T22" s="231"/>
      <c r="U22" s="231"/>
      <c r="V22" s="231"/>
      <c r="W22" s="231"/>
      <c r="Y22" s="235">
        <f>SUM(I22:W22)</f>
        <v>3272.7226999999993</v>
      </c>
      <c r="Z22" s="236" t="s">
        <v>16</v>
      </c>
    </row>
    <row r="23" spans="1:26" x14ac:dyDescent="0.25">
      <c r="A23" s="99" t="s">
        <v>197</v>
      </c>
      <c r="B23" s="101" t="s">
        <v>18</v>
      </c>
      <c r="C23" s="101"/>
      <c r="D23" s="101"/>
      <c r="E23" s="101"/>
      <c r="F23" s="100"/>
      <c r="G23" s="175">
        <f>'B-Angaben Bieter'!I13</f>
        <v>1200</v>
      </c>
      <c r="H23" s="84" t="s">
        <v>16</v>
      </c>
      <c r="I23" s="231"/>
      <c r="J23" s="231"/>
      <c r="K23" s="231"/>
      <c r="L23" s="231"/>
      <c r="M23" s="231">
        <f>G23</f>
        <v>1200</v>
      </c>
      <c r="N23" s="231">
        <f>SUM(G23*(G5)^1)</f>
        <v>1230</v>
      </c>
      <c r="O23" s="231">
        <f>SUM(G23*(G5)^2)</f>
        <v>1260.75</v>
      </c>
      <c r="P23" s="231">
        <f>SUM(G23*(G5)^3)</f>
        <v>1292.26875</v>
      </c>
      <c r="Q23" s="231">
        <f>SUM(G23*(G5)^4)</f>
        <v>1324.5754687499998</v>
      </c>
      <c r="R23" s="231">
        <f>SUM(G23*(G5)^5)</f>
        <v>1357.6898554687496</v>
      </c>
      <c r="S23" s="231">
        <f>SUM(G23*(G5)^6)</f>
        <v>1391.6321018554681</v>
      </c>
      <c r="T23" s="231">
        <f>SUM(G23*(G5)^7)</f>
        <v>1426.422904401855</v>
      </c>
      <c r="U23" s="231">
        <f>SUM(G23*(G5)^8)</f>
        <v>1462.0834770119013</v>
      </c>
      <c r="V23" s="231">
        <f>SUM(G23*(G5)^9)</f>
        <v>1498.6355639371984</v>
      </c>
      <c r="W23" s="231">
        <f>SUM(G23*(G5)^10)</f>
        <v>1536.1014530356285</v>
      </c>
      <c r="Y23" s="235">
        <f t="shared" ref="Y23:Y28" si="0">SUM(I23:W23)</f>
        <v>14980.1595744608</v>
      </c>
      <c r="Z23" s="236" t="s">
        <v>16</v>
      </c>
    </row>
    <row r="24" spans="1:26" x14ac:dyDescent="0.25">
      <c r="A24" s="99" t="s">
        <v>198</v>
      </c>
      <c r="B24" s="101" t="s">
        <v>19</v>
      </c>
      <c r="C24" s="101"/>
      <c r="D24" s="101"/>
      <c r="E24" s="101"/>
      <c r="F24" s="100"/>
      <c r="G24" s="175">
        <f>'B-Angaben Bieter'!I14</f>
        <v>2600</v>
      </c>
      <c r="H24" s="84" t="s">
        <v>16</v>
      </c>
      <c r="I24" s="231"/>
      <c r="J24" s="231"/>
      <c r="K24" s="231"/>
      <c r="L24" s="231"/>
      <c r="M24" s="231">
        <f>G24</f>
        <v>2600</v>
      </c>
      <c r="N24" s="231">
        <f>SUM(G24*(G6)^1)</f>
        <v>2678</v>
      </c>
      <c r="O24" s="231">
        <f>SUM(G24*(G6)^2)</f>
        <v>2758.3399999999997</v>
      </c>
      <c r="P24" s="231">
        <f>SUM(G24*(G6)^3)</f>
        <v>2841.0902000000001</v>
      </c>
      <c r="Q24" s="231">
        <f>SUM(G24*(G6)^4)</f>
        <v>2926.3229059999999</v>
      </c>
      <c r="R24" s="231">
        <f>SUM(G24*(G6)^5)</f>
        <v>3014.1125931799997</v>
      </c>
      <c r="S24" s="231">
        <f>SUM(G24*(G6)^6)</f>
        <v>3104.5359709753998</v>
      </c>
      <c r="T24" s="231">
        <f>SUM(G24*(G6)^7)</f>
        <v>3197.672050104662</v>
      </c>
      <c r="U24" s="231">
        <f>SUM(G24*(G6)^8)</f>
        <v>3293.6022116078016</v>
      </c>
      <c r="V24" s="231">
        <f>SUM(G24*(G6)^9)</f>
        <v>3392.4102779560358</v>
      </c>
      <c r="W24" s="231">
        <f>SUM(G24*(G6)^10)</f>
        <v>3494.1825862947167</v>
      </c>
      <c r="Y24" s="235">
        <f>SUM(M24:X24)</f>
        <v>33300.268796118617</v>
      </c>
      <c r="Z24" s="236" t="s">
        <v>16</v>
      </c>
    </row>
    <row r="25" spans="1:26" x14ac:dyDescent="0.25">
      <c r="A25" s="99" t="s">
        <v>199</v>
      </c>
      <c r="B25" s="101" t="s">
        <v>20</v>
      </c>
      <c r="C25" s="101"/>
      <c r="D25" s="101"/>
      <c r="E25" s="101"/>
      <c r="F25" s="100"/>
      <c r="G25" s="175">
        <f>'B-Angaben Bieter'!I15</f>
        <v>500</v>
      </c>
      <c r="H25" s="84" t="s">
        <v>16</v>
      </c>
      <c r="I25" s="231">
        <f>G25</f>
        <v>500</v>
      </c>
      <c r="J25" s="231">
        <f>SUM(G25*(G9)^1)</f>
        <v>520</v>
      </c>
      <c r="K25" s="231">
        <f>SUM(G25*(G9)^2)</f>
        <v>540.80000000000007</v>
      </c>
      <c r="L25" s="231">
        <f>SUM(G25*(G9)^3)</f>
        <v>562.43200000000002</v>
      </c>
      <c r="M25" s="231">
        <f>SUM(G25*(G9)^4)</f>
        <v>584.92928000000006</v>
      </c>
      <c r="N25" s="231">
        <f>SUM(G25*(G9)^5)</f>
        <v>608.32645120000018</v>
      </c>
      <c r="O25" s="231">
        <f>SUM(G25*(G9)^6)</f>
        <v>632.65950924800018</v>
      </c>
      <c r="P25" s="231">
        <f>SUM(G25*(G9)^7)</f>
        <v>657.96588961792008</v>
      </c>
      <c r="Q25" s="231">
        <f>SUM(G25*(G9)^8)</f>
        <v>684.28452520263704</v>
      </c>
      <c r="R25" s="231">
        <f>SUM(G25*(G9)^9)</f>
        <v>711.65590621074261</v>
      </c>
      <c r="S25" s="231">
        <f>SUM(G25*(G9)^10)</f>
        <v>740.12214245917232</v>
      </c>
      <c r="T25" s="231">
        <f>SUM(G25*(G9)^11)</f>
        <v>769.72702815753917</v>
      </c>
      <c r="U25" s="231">
        <f>SUM(G25*(G9)^12)</f>
        <v>800.51610928384082</v>
      </c>
      <c r="V25" s="231">
        <f>SUM(G25*(G9)^13)</f>
        <v>832.5367536551945</v>
      </c>
      <c r="W25" s="231">
        <f>SUM(G25*(G9)^14)</f>
        <v>865.83822380140225</v>
      </c>
      <c r="Y25" s="235">
        <f t="shared" si="0"/>
        <v>10011.79381883645</v>
      </c>
      <c r="Z25" s="236" t="s">
        <v>16</v>
      </c>
    </row>
    <row r="26" spans="1:26" x14ac:dyDescent="0.25">
      <c r="A26" s="99" t="s">
        <v>200</v>
      </c>
      <c r="B26" s="101" t="s">
        <v>21</v>
      </c>
      <c r="C26" s="101"/>
      <c r="D26" s="101"/>
      <c r="E26" s="101"/>
      <c r="F26" s="100"/>
      <c r="G26" s="175">
        <f>'B-Angaben Bieter'!I16</f>
        <v>280</v>
      </c>
      <c r="H26" s="84" t="s">
        <v>16</v>
      </c>
      <c r="I26" s="231">
        <f>G26</f>
        <v>280</v>
      </c>
      <c r="J26" s="231">
        <f>SUM(G26*(G9)^1)</f>
        <v>291.2</v>
      </c>
      <c r="K26" s="231">
        <f>SUM(G26*(G9)^2)</f>
        <v>302.84800000000001</v>
      </c>
      <c r="L26" s="231">
        <f>SUM(G26*(G9)^3)</f>
        <v>314.96192000000002</v>
      </c>
      <c r="M26" s="231">
        <f>SUM(G26*(G9)^4)</f>
        <v>327.56039680000004</v>
      </c>
      <c r="N26" s="231">
        <f>SUM(G26*(G9)^5)</f>
        <v>340.66281267200009</v>
      </c>
      <c r="O26" s="231">
        <f>SUM(G26*(G9)^6)</f>
        <v>354.28932517888012</v>
      </c>
      <c r="P26" s="231">
        <f>SUM(G26*(G9)^7)</f>
        <v>368.46089818603525</v>
      </c>
      <c r="Q26" s="231">
        <f>SUM(G26*(G9)^8)</f>
        <v>383.19933411347677</v>
      </c>
      <c r="R26" s="231">
        <f>SUM(G26*(G9)^9)</f>
        <v>398.52730747801587</v>
      </c>
      <c r="S26" s="231">
        <f>SUM(G26*(G9)^10)</f>
        <v>414.46839977713648</v>
      </c>
      <c r="T26" s="231">
        <f>SUM(G26*(G9)^11)</f>
        <v>431.04713576822189</v>
      </c>
      <c r="U26" s="231">
        <f>SUM(G26*(G9)^12)</f>
        <v>448.28902119895088</v>
      </c>
      <c r="V26" s="231">
        <f>SUM(G26*(G9)^13)</f>
        <v>466.22058204690893</v>
      </c>
      <c r="W26" s="231">
        <f>SUM(G26*(G9)^14)</f>
        <v>484.86940532878526</v>
      </c>
      <c r="Y26" s="235">
        <f t="shared" si="0"/>
        <v>5606.6045385484113</v>
      </c>
      <c r="Z26" s="236" t="s">
        <v>16</v>
      </c>
    </row>
    <row r="27" spans="1:26" x14ac:dyDescent="0.25">
      <c r="A27" s="99" t="s">
        <v>201</v>
      </c>
      <c r="B27" s="101" t="s">
        <v>250</v>
      </c>
      <c r="C27" s="101"/>
      <c r="D27" s="101"/>
      <c r="E27" s="101"/>
      <c r="F27" s="100"/>
      <c r="G27" s="175">
        <f>'B-Angaben Bieter'!I18</f>
        <v>750</v>
      </c>
      <c r="H27" s="84" t="s">
        <v>16</v>
      </c>
      <c r="I27" s="231"/>
      <c r="J27" s="231">
        <f>G27</f>
        <v>750</v>
      </c>
      <c r="K27" s="231"/>
      <c r="L27" s="231">
        <f>SUM(G27*(G7)^2)</f>
        <v>787.96874999999989</v>
      </c>
      <c r="M27" s="231"/>
      <c r="N27" s="231">
        <f>SUM(G27*(G7)^6)</f>
        <v>869.77006365966758</v>
      </c>
      <c r="O27" s="231"/>
      <c r="P27" s="231">
        <f>SUM(G27*(G7)^8)</f>
        <v>913.80217313243827</v>
      </c>
      <c r="Q27" s="231"/>
      <c r="R27" s="231">
        <f>SUM(G27*(G7)^10)</f>
        <v>960.06340814726786</v>
      </c>
      <c r="S27" s="231"/>
      <c r="T27" s="231">
        <f>SUM(G27*(G7)^12)</f>
        <v>1008.6666181847231</v>
      </c>
      <c r="U27" s="231"/>
      <c r="V27" s="231">
        <f>SUM(G27*(G7)^14)</f>
        <v>1059.7303657303246</v>
      </c>
      <c r="W27" s="231"/>
      <c r="Y27" s="235">
        <f t="shared" si="0"/>
        <v>6350.0013788544211</v>
      </c>
      <c r="Z27" s="236" t="s">
        <v>16</v>
      </c>
    </row>
    <row r="28" spans="1:26" x14ac:dyDescent="0.25">
      <c r="A28" s="99" t="s">
        <v>202</v>
      </c>
      <c r="B28" s="101" t="s">
        <v>249</v>
      </c>
      <c r="C28" s="101"/>
      <c r="D28" s="101"/>
      <c r="E28" s="101"/>
      <c r="F28" s="100"/>
      <c r="G28" s="175">
        <f>'B-Angaben Bieter'!I17</f>
        <v>1000</v>
      </c>
      <c r="H28" s="84" t="s">
        <v>16</v>
      </c>
      <c r="I28" s="231">
        <f>G28</f>
        <v>1000</v>
      </c>
      <c r="J28" s="231"/>
      <c r="K28" s="231">
        <f>SUM(G28*(G8)^3)</f>
        <v>1076.8906249999998</v>
      </c>
      <c r="L28" s="231"/>
      <c r="M28" s="231">
        <f>SUM(G28*(G8)^5)</f>
        <v>1131.4082128906246</v>
      </c>
      <c r="N28" s="231"/>
      <c r="O28" s="231">
        <f>SUM(G28*(G8)^7)</f>
        <v>1188.6857536682126</v>
      </c>
      <c r="P28" s="231"/>
      <c r="Q28" s="231">
        <f>SUM(G28*(G8)^9)</f>
        <v>1248.8629699476655</v>
      </c>
      <c r="R28" s="231"/>
      <c r="S28" s="231">
        <f>SUM(G28*(G8)^11)</f>
        <v>1312.086657801266</v>
      </c>
      <c r="T28" s="231"/>
      <c r="U28" s="231">
        <f>SUM(G28*(G8)^13)</f>
        <v>1378.5110448524549</v>
      </c>
      <c r="V28" s="231"/>
      <c r="W28" s="231">
        <f>SUM(G28*(G8)^15)</f>
        <v>1448.2981664981105</v>
      </c>
      <c r="Y28" s="235">
        <f t="shared" si="0"/>
        <v>9784.7434306583364</v>
      </c>
      <c r="Z28" s="236" t="s">
        <v>16</v>
      </c>
    </row>
    <row r="29" spans="1:26" x14ac:dyDescent="0.25">
      <c r="A29" s="99"/>
      <c r="B29" s="126" t="s">
        <v>619</v>
      </c>
      <c r="C29" s="101"/>
      <c r="D29" s="101"/>
      <c r="E29" s="101"/>
      <c r="F29" s="100"/>
      <c r="G29" s="175">
        <f>'B-Angaben Bieter'!I49</f>
        <v>110</v>
      </c>
      <c r="H29" s="84" t="s">
        <v>16</v>
      </c>
      <c r="I29" s="343"/>
      <c r="J29" s="343"/>
      <c r="K29" s="343"/>
      <c r="L29" s="343"/>
      <c r="M29" s="343"/>
      <c r="N29" s="343"/>
      <c r="O29" s="343"/>
      <c r="P29" s="343"/>
      <c r="Q29" s="343"/>
      <c r="R29" s="343"/>
      <c r="S29" s="343"/>
      <c r="T29" s="343"/>
      <c r="U29" s="343"/>
      <c r="V29" s="343"/>
      <c r="W29" s="343"/>
      <c r="Y29" s="344"/>
      <c r="Z29" s="345"/>
    </row>
    <row r="30" spans="1:26" x14ac:dyDescent="0.25">
      <c r="A30" s="99"/>
      <c r="B30" s="126" t="s">
        <v>616</v>
      </c>
      <c r="C30" s="126" t="s">
        <v>617</v>
      </c>
      <c r="D30" s="101"/>
      <c r="E30" s="101"/>
      <c r="F30" s="100"/>
      <c r="G30" s="175">
        <f>'B-Angaben Bieter'!I50</f>
        <v>80</v>
      </c>
      <c r="H30" s="89" t="s">
        <v>16</v>
      </c>
      <c r="I30" s="231" t="s">
        <v>633</v>
      </c>
      <c r="J30" s="354">
        <v>100</v>
      </c>
      <c r="K30" s="231" t="s">
        <v>616</v>
      </c>
      <c r="L30" s="343"/>
      <c r="M30" s="343"/>
      <c r="N30" s="343"/>
      <c r="O30" s="343"/>
      <c r="P30" s="343"/>
      <c r="Q30" s="343"/>
      <c r="R30" s="343"/>
      <c r="S30" s="343"/>
      <c r="T30" s="343"/>
      <c r="U30" s="343"/>
      <c r="V30" s="343"/>
      <c r="W30" s="343"/>
      <c r="Y30" s="344"/>
      <c r="Z30" s="345"/>
    </row>
    <row r="31" spans="1:26" x14ac:dyDescent="0.25">
      <c r="A31" s="99"/>
      <c r="B31" s="126" t="s">
        <v>616</v>
      </c>
      <c r="C31" s="126" t="s">
        <v>647</v>
      </c>
      <c r="D31" s="101"/>
      <c r="E31" s="101"/>
      <c r="F31" s="100"/>
      <c r="G31" s="353">
        <f>'B-Angaben Bieter'!I51</f>
        <v>20</v>
      </c>
      <c r="H31" s="89" t="s">
        <v>171</v>
      </c>
      <c r="I31" s="231">
        <f>G29</f>
        <v>110</v>
      </c>
      <c r="J31" s="355">
        <f>G31/J30</f>
        <v>0.2</v>
      </c>
      <c r="K31" s="231">
        <f>SUM(I31*(1+J31))</f>
        <v>132</v>
      </c>
      <c r="L31" s="343"/>
      <c r="M31" s="343"/>
      <c r="N31" s="343"/>
      <c r="O31" s="343"/>
      <c r="P31" s="343"/>
      <c r="Q31" s="343"/>
      <c r="R31" s="343"/>
      <c r="S31" s="343"/>
      <c r="T31" s="343"/>
      <c r="U31" s="343"/>
      <c r="V31" s="343"/>
      <c r="W31" s="343"/>
      <c r="Y31" s="344"/>
      <c r="Z31" s="345"/>
    </row>
    <row r="32" spans="1:26" x14ac:dyDescent="0.25">
      <c r="A32" s="99"/>
      <c r="B32" s="126" t="s">
        <v>616</v>
      </c>
      <c r="C32" s="126" t="s">
        <v>648</v>
      </c>
      <c r="D32" s="101"/>
      <c r="E32" s="101"/>
      <c r="F32" s="100"/>
      <c r="G32" s="175">
        <f>'B-Angaben Bieter'!I52</f>
        <v>40</v>
      </c>
      <c r="H32" s="89" t="s">
        <v>171</v>
      </c>
      <c r="I32" s="231">
        <v>110</v>
      </c>
      <c r="J32" s="355">
        <f>SUM(G32/J30)</f>
        <v>0.4</v>
      </c>
      <c r="K32" s="231">
        <f>SUM(I32*(1+J32))</f>
        <v>154</v>
      </c>
      <c r="L32" s="343"/>
      <c r="M32" s="343"/>
      <c r="N32" s="343"/>
      <c r="O32" s="343"/>
      <c r="P32" s="343"/>
      <c r="Q32" s="343"/>
      <c r="R32" s="343"/>
      <c r="S32" s="343"/>
      <c r="T32" s="343"/>
      <c r="U32" s="343"/>
      <c r="V32" s="343"/>
      <c r="W32" s="343"/>
      <c r="Y32" s="344"/>
      <c r="Z32" s="345"/>
    </row>
    <row r="33" spans="1:26" x14ac:dyDescent="0.25">
      <c r="A33" s="99"/>
      <c r="B33" s="126" t="s">
        <v>621</v>
      </c>
      <c r="C33" s="101"/>
      <c r="D33" s="101"/>
      <c r="E33" s="101"/>
      <c r="F33" s="100"/>
      <c r="G33" s="175">
        <f>'B-Angaben Bieter'!I53</f>
        <v>180</v>
      </c>
      <c r="H33" s="89" t="s">
        <v>16</v>
      </c>
      <c r="I33" s="343"/>
      <c r="J33" s="343"/>
      <c r="K33" s="343"/>
      <c r="L33" s="343"/>
      <c r="M33" s="343"/>
      <c r="N33" s="343"/>
      <c r="O33" s="343"/>
      <c r="P33" s="343"/>
      <c r="Q33" s="343"/>
      <c r="R33" s="343"/>
      <c r="S33" s="343"/>
      <c r="T33" s="343"/>
      <c r="U33" s="343"/>
      <c r="V33" s="343"/>
      <c r="W33" s="343"/>
      <c r="Y33" s="344"/>
      <c r="Z33" s="345"/>
    </row>
    <row r="34" spans="1:26" x14ac:dyDescent="0.25">
      <c r="B34" s="126" t="s">
        <v>627</v>
      </c>
      <c r="C34" s="101"/>
      <c r="D34" s="101"/>
      <c r="E34" s="100"/>
      <c r="F34" s="100"/>
      <c r="G34" s="175">
        <f>'B-Angaben Bieter'!I54</f>
        <v>120</v>
      </c>
      <c r="H34" s="89" t="s">
        <v>16</v>
      </c>
    </row>
    <row r="35" spans="1:26" x14ac:dyDescent="0.25">
      <c r="I35" s="243" t="s">
        <v>516</v>
      </c>
      <c r="J35" s="244"/>
      <c r="K35" s="245"/>
      <c r="L35" s="252">
        <f>SUM(I22+J22+K22+L22+I25+J25+K25+L25+I26+J26+K26+L26+J27+L27+I28+K28)</f>
        <v>10199.823994999999</v>
      </c>
      <c r="M35" s="248" t="s">
        <v>16</v>
      </c>
      <c r="N35" s="168"/>
      <c r="O35" s="168"/>
      <c r="Q35" s="168"/>
      <c r="R35" s="259" t="s">
        <v>519</v>
      </c>
      <c r="S35" s="257">
        <f>SUM(Energieeffiziensberechnung!M4+Energieeffiziensberechnung!M5+Energieeffiziensberechnung!M6+Energieeffiziensberechnung!M7+Energieeffiziensberechnung!S4+Energieeffiziensberechnung!S5+Energieeffiziensberechnung!S6+Energieeffiziensberechnung!S7)</f>
        <v>2794.0786499999995</v>
      </c>
      <c r="T35" s="245" t="s">
        <v>16</v>
      </c>
      <c r="U35" s="259" t="s">
        <v>521</v>
      </c>
      <c r="V35" s="255">
        <f>SUM(L35+S35)</f>
        <v>12993.902644999998</v>
      </c>
      <c r="W35" s="245" t="s">
        <v>16</v>
      </c>
    </row>
    <row r="36" spans="1:26" x14ac:dyDescent="0.25">
      <c r="I36" s="246" t="s">
        <v>518</v>
      </c>
      <c r="J36" s="247"/>
      <c r="K36" s="248"/>
      <c r="L36" s="255">
        <f>SUM(M24+N24+O24+P24+Q24+R24+S24+T24+U24+V24+M25+M26+N25+N26+O25+O26+P25+P26+Q25+Q26+R25+R26+S25+S26+T25+T26+U25+U26+V25+V26+W25+W26+W24)</f>
        <v>45606.425233503476</v>
      </c>
      <c r="M36" s="245" t="s">
        <v>16</v>
      </c>
      <c r="N36" s="168"/>
      <c r="O36" s="168"/>
      <c r="Q36" s="168"/>
      <c r="R36" s="259" t="s">
        <v>519</v>
      </c>
      <c r="S36" s="257">
        <f>SUM(Energieeffiziensberechnung!M8+Energieeffiziensberechnung!M9+Energieeffiziensberechnung!M10+Energieeffiziensberechnung!M11+Energieeffiziensberechnung!M12+Energieeffiziensberechnung!M13+Energieeffiziensberechnung!M14+Energieeffiziensberechnung!M15+Energieeffiziensberechnung!M16+Energieeffiziensberechnung!M17+Energieeffiziensberechnung!M18+Energieeffiziensberechnung!S8+Energieeffiziensberechnung!S9+Energieeffiziensberechnung!S10+Energieeffiziensberechnung!S11+Energieeffiziensberechnung!S12+Energieeffiziensberechnung!S13+Energieeffiziensberechnung!S14+Energieeffiziensberechnung!S15+Energieeffiziensberechnung!S16+Energieeffiziensberechnung!S17+Energieeffiziensberechnung!S18)</f>
        <v>10954.158382301011</v>
      </c>
      <c r="T36" s="245" t="s">
        <v>16</v>
      </c>
      <c r="U36" s="259" t="s">
        <v>521</v>
      </c>
      <c r="V36" s="252">
        <f>SUM(L36+S36)</f>
        <v>56560.583615804484</v>
      </c>
      <c r="W36" s="248" t="s">
        <v>16</v>
      </c>
    </row>
    <row r="37" spans="1:26" x14ac:dyDescent="0.25">
      <c r="I37" s="243" t="s">
        <v>517</v>
      </c>
      <c r="J37" s="244"/>
      <c r="K37" s="245"/>
      <c r="L37" s="255">
        <f>SUM(M23+N23+O23+P23+Q23+R23+S23+T23+U23+V23+W23+M25+M26+M28+N25+N26+N27+O25+O26+O28+P25+P26+P27+Q25+Q26+Q28+R25+R26+R27+S25+S26+S28+T25+T26+T27+U25+U26+U28+V25+V26+V27+W25+W26+W28)</f>
        <v>39806.20144635842</v>
      </c>
      <c r="M37" s="245" t="s">
        <v>16</v>
      </c>
      <c r="N37" s="243" t="s">
        <v>520</v>
      </c>
      <c r="O37" s="256"/>
      <c r="P37" s="255">
        <f>SUM(Komponenten!Z18+Komponenten!Z23)</f>
        <v>47219.365048785301</v>
      </c>
      <c r="Q37" s="244" t="s">
        <v>16</v>
      </c>
      <c r="R37" s="259" t="s">
        <v>519</v>
      </c>
      <c r="S37" s="257">
        <f>SUM(Energieeffiziensberechnung!M8+Energieeffiziensberechnung!M9+Energieeffiziensberechnung!M10+Energieeffiziensberechnung!M11+Energieeffiziensberechnung!M12+Energieeffiziensberechnung!M13+Energieeffiziensberechnung!M14+Energieeffiziensberechnung!M15+Energieeffiziensberechnung!M16+Energieeffiziensberechnung!M17+Energieeffiziensberechnung!M18+Energieeffiziensberechnung!S8+Energieeffiziensberechnung!S9+Energieeffiziensberechnung!S10+Energieeffiziensberechnung!S11+Energieeffiziensberechnung!S12+Energieeffiziensberechnung!S13+Energieeffiziensberechnung!S14+Energieeffiziensberechnung!S15+Energieeffiziensberechnung!S16+Energieeffiziensberechnung!S17+Energieeffiziensberechnung!S18)</f>
        <v>10954.158382301011</v>
      </c>
      <c r="T37" s="245" t="s">
        <v>16</v>
      </c>
      <c r="U37" s="259" t="s">
        <v>521</v>
      </c>
      <c r="V37" s="255">
        <f>SUM(L37+P37+S37)</f>
        <v>97979.724877444736</v>
      </c>
      <c r="W37" s="245" t="s">
        <v>16</v>
      </c>
    </row>
    <row r="38" spans="1:26" x14ac:dyDescent="0.25">
      <c r="I38" s="249" t="s">
        <v>517</v>
      </c>
      <c r="J38" s="250"/>
      <c r="K38" s="251"/>
      <c r="L38" s="253">
        <f>L37</f>
        <v>39806.20144635842</v>
      </c>
      <c r="M38" s="254" t="s">
        <v>16</v>
      </c>
      <c r="N38" s="243" t="s">
        <v>522</v>
      </c>
      <c r="O38" s="256"/>
      <c r="P38" s="257">
        <f>SUM(Komponenten!Z18+Komponenten!Z29)</f>
        <v>29897.771740603508</v>
      </c>
      <c r="Q38" s="258" t="s">
        <v>16</v>
      </c>
      <c r="R38" s="259" t="s">
        <v>519</v>
      </c>
      <c r="S38" s="257">
        <f>S37</f>
        <v>10954.158382301011</v>
      </c>
      <c r="T38" s="260" t="s">
        <v>16</v>
      </c>
      <c r="U38" s="259" t="s">
        <v>521</v>
      </c>
      <c r="V38" s="253">
        <f>SUM(L38+P38+S38)</f>
        <v>80658.131569262943</v>
      </c>
      <c r="W38" s="261" t="s">
        <v>16</v>
      </c>
    </row>
    <row r="39" spans="1:26" ht="15.75" thickBot="1" x14ac:dyDescent="0.3"/>
    <row r="40" spans="1:26" x14ac:dyDescent="0.25">
      <c r="I40" s="263" t="s">
        <v>523</v>
      </c>
      <c r="J40" s="264"/>
      <c r="K40" s="264"/>
      <c r="L40" s="265"/>
      <c r="M40" s="266">
        <f>SUM(V35+V36)</f>
        <v>69554.486260804479</v>
      </c>
      <c r="N40" s="267" t="s">
        <v>16</v>
      </c>
    </row>
    <row r="41" spans="1:26" x14ac:dyDescent="0.25">
      <c r="I41" s="268" t="s">
        <v>524</v>
      </c>
      <c r="J41" s="262"/>
      <c r="K41" s="262"/>
      <c r="L41" s="256"/>
      <c r="M41" s="255">
        <f>SUM(V35+V37)</f>
        <v>110973.62752244473</v>
      </c>
      <c r="N41" s="269" t="s">
        <v>16</v>
      </c>
    </row>
    <row r="42" spans="1:26" ht="15.75" thickBot="1" x14ac:dyDescent="0.3">
      <c r="I42" s="270" t="s">
        <v>525</v>
      </c>
      <c r="J42" s="271"/>
      <c r="K42" s="271"/>
      <c r="L42" s="272"/>
      <c r="M42" s="273">
        <f>SUM(V35+V38)</f>
        <v>93652.034214262938</v>
      </c>
      <c r="N42" s="274" t="s">
        <v>16</v>
      </c>
    </row>
  </sheetData>
  <sheetProtection algorithmName="SHA-512" hashValue="vVCGFopYMQkjfaXdD50eu+gbHuUdp7o5U3w15z4gSfwMyerIMQSyqVHEN+sSqN6PfHFycyT7zSMulgzDNQJVCQ==" saltValue="yna8buKywYXXnnpJsqRSCA==" spinCount="100000" sheet="1" objects="1" scenarios="1"/>
  <mergeCells count="1">
    <mergeCell ref="A1:G1"/>
  </mergeCells>
  <pageMargins left="0.7" right="0.7" top="0.78740157499999996" bottom="0.78740157499999996" header="0.3" footer="0.3"/>
  <ignoredErrors>
    <ignoredError sqref="Y24" formula="1"/>
  </ignoredError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3B3C04-B476-470D-B640-0EA31C3F7F03}">
  <sheetPr>
    <tabColor rgb="FF7030A0"/>
  </sheetPr>
  <dimension ref="A1:AA34"/>
  <sheetViews>
    <sheetView workbookViewId="0">
      <selection activeCell="H51" sqref="H51"/>
    </sheetView>
  </sheetViews>
  <sheetFormatPr baseColWidth="10" defaultColWidth="11.42578125" defaultRowHeight="15" x14ac:dyDescent="0.25"/>
  <cols>
    <col min="1" max="1" width="7.28515625" style="84" customWidth="1"/>
    <col min="2" max="5" width="11.42578125" style="84"/>
    <col min="6" max="6" width="28" style="84" customWidth="1"/>
    <col min="7" max="7" width="14.140625" style="95" bestFit="1" customWidth="1"/>
    <col min="8" max="8" width="11.42578125" style="84"/>
    <col min="9" max="9" width="12" style="84" bestFit="1" customWidth="1"/>
    <col min="10" max="11" width="11.42578125" style="84"/>
    <col min="12" max="16" width="11" style="84" bestFit="1" customWidth="1"/>
    <col min="17" max="17" width="12" style="84" customWidth="1"/>
    <col min="18" max="18" width="12" style="84" bestFit="1" customWidth="1"/>
    <col min="19" max="20" width="11" style="84" bestFit="1" customWidth="1"/>
    <col min="21" max="23" width="11.42578125" style="84"/>
    <col min="24" max="24" width="15.42578125" style="84" customWidth="1"/>
    <col min="25" max="25" width="11.42578125" style="84"/>
    <col min="26" max="26" width="12" style="84" bestFit="1" customWidth="1"/>
    <col min="27" max="16384" width="11.42578125" style="84"/>
  </cols>
  <sheetData>
    <row r="1" spans="1:25" ht="18.75" x14ac:dyDescent="0.3">
      <c r="A1" s="500" t="s">
        <v>526</v>
      </c>
      <c r="B1" s="370"/>
      <c r="C1" s="370"/>
      <c r="D1" s="370"/>
      <c r="E1" s="370"/>
      <c r="F1" s="370"/>
      <c r="G1" s="370"/>
    </row>
    <row r="4" spans="1:25" x14ac:dyDescent="0.25">
      <c r="C4" s="82" t="s">
        <v>108</v>
      </c>
      <c r="D4" s="82"/>
      <c r="E4" s="82"/>
      <c r="F4" s="82"/>
      <c r="G4" s="97"/>
      <c r="H4" s="82">
        <v>1.04</v>
      </c>
      <c r="Y4" s="85"/>
    </row>
    <row r="7" spans="1:25" x14ac:dyDescent="0.25">
      <c r="B7" s="87" t="s">
        <v>112</v>
      </c>
      <c r="X7" s="86" t="s">
        <v>111</v>
      </c>
    </row>
    <row r="8" spans="1:25" x14ac:dyDescent="0.25">
      <c r="X8" s="86" t="s">
        <v>111</v>
      </c>
    </row>
    <row r="9" spans="1:25" x14ac:dyDescent="0.25">
      <c r="B9" s="87" t="s">
        <v>26</v>
      </c>
      <c r="I9" s="221" t="s">
        <v>144</v>
      </c>
      <c r="J9" s="221" t="s">
        <v>145</v>
      </c>
      <c r="K9" s="221" t="s">
        <v>146</v>
      </c>
      <c r="L9" s="221" t="s">
        <v>147</v>
      </c>
      <c r="M9" s="221" t="s">
        <v>148</v>
      </c>
      <c r="N9" s="221" t="s">
        <v>149</v>
      </c>
      <c r="O9" s="221" t="s">
        <v>150</v>
      </c>
      <c r="P9" s="221" t="s">
        <v>151</v>
      </c>
      <c r="Q9" s="221" t="s">
        <v>152</v>
      </c>
      <c r="R9" s="221" t="s">
        <v>153</v>
      </c>
      <c r="S9" s="221" t="s">
        <v>154</v>
      </c>
      <c r="T9" s="221" t="s">
        <v>155</v>
      </c>
      <c r="U9" s="221" t="s">
        <v>156</v>
      </c>
      <c r="V9" s="221" t="s">
        <v>157</v>
      </c>
      <c r="W9" s="221" t="s">
        <v>158</v>
      </c>
      <c r="X9" s="222" t="s">
        <v>159</v>
      </c>
    </row>
    <row r="10" spans="1:25" x14ac:dyDescent="0.25">
      <c r="A10" s="100" t="s">
        <v>203</v>
      </c>
      <c r="B10" s="501" t="s">
        <v>236</v>
      </c>
      <c r="C10" s="370"/>
      <c r="D10" s="370"/>
      <c r="E10" s="370"/>
      <c r="F10" s="370"/>
      <c r="G10" s="174">
        <f>'B-Angaben Bieter'!I23</f>
        <v>800</v>
      </c>
      <c r="H10" s="86" t="s">
        <v>16</v>
      </c>
      <c r="I10" s="223"/>
      <c r="J10" s="223"/>
      <c r="K10" s="223">
        <f>SUM(G10*(H4^2))</f>
        <v>865.28000000000009</v>
      </c>
      <c r="L10" s="223"/>
      <c r="M10" s="223"/>
      <c r="N10" s="223">
        <f>SUM(K10*(H4^3))</f>
        <v>973.32232192000015</v>
      </c>
      <c r="O10" s="223"/>
      <c r="P10" s="223"/>
      <c r="Q10" s="223">
        <f>SUM(N10*(H4^3))</f>
        <v>1094.855240324219</v>
      </c>
      <c r="R10" s="223"/>
      <c r="S10" s="223"/>
      <c r="T10" s="223">
        <f>SUM(Q10*(H4^3))</f>
        <v>1231.5632450520625</v>
      </c>
      <c r="U10" s="223"/>
      <c r="V10" s="223"/>
      <c r="W10" s="223">
        <f>SUM(T10*(H4^3))</f>
        <v>1385.3411580822433</v>
      </c>
      <c r="X10" s="98">
        <f>SUM(I10:W10)</f>
        <v>5550.3619653785245</v>
      </c>
      <c r="Y10" s="84" t="s">
        <v>16</v>
      </c>
    </row>
    <row r="11" spans="1:25" x14ac:dyDescent="0.25">
      <c r="A11" s="100" t="s">
        <v>204</v>
      </c>
      <c r="B11" s="501" t="s">
        <v>245</v>
      </c>
      <c r="C11" s="370"/>
      <c r="D11" s="370"/>
      <c r="E11" s="370"/>
      <c r="F11" s="370"/>
      <c r="G11" s="174">
        <f>'B-Angaben Bieter'!I24</f>
        <v>300</v>
      </c>
      <c r="H11" s="86" t="s">
        <v>16</v>
      </c>
      <c r="I11" s="223"/>
      <c r="J11" s="223">
        <f>SUM(G11*(H4^1))</f>
        <v>312</v>
      </c>
      <c r="K11" s="223"/>
      <c r="L11" s="223">
        <f>SUM(J11*(H4^2))</f>
        <v>337.45920000000001</v>
      </c>
      <c r="M11" s="223"/>
      <c r="N11" s="223">
        <f>SUM(L11*(H4^2))</f>
        <v>364.99587072000003</v>
      </c>
      <c r="O11" s="223"/>
      <c r="P11" s="223">
        <f>SUM(N11*(H4^2))</f>
        <v>394.7795337707521</v>
      </c>
      <c r="Q11" s="223"/>
      <c r="R11" s="223">
        <f>SUM(P11*(H4^2))</f>
        <v>426.99354372644552</v>
      </c>
      <c r="S11" s="223"/>
      <c r="T11" s="223">
        <f>SUM(R11*(H4^2))</f>
        <v>461.83621689452355</v>
      </c>
      <c r="U11" s="223" t="s">
        <v>111</v>
      </c>
      <c r="V11" s="223">
        <f>SUM(T11*(H4^2))</f>
        <v>499.52205219311674</v>
      </c>
      <c r="W11" s="223"/>
      <c r="X11" s="98">
        <f>SUM(I11:W11)</f>
        <v>2797.5864173048381</v>
      </c>
      <c r="Y11" s="84" t="s">
        <v>16</v>
      </c>
    </row>
    <row r="12" spans="1:25" x14ac:dyDescent="0.25">
      <c r="A12" s="100" t="s">
        <v>243</v>
      </c>
      <c r="B12" s="101" t="s">
        <v>244</v>
      </c>
      <c r="C12" s="100"/>
      <c r="D12" s="100"/>
      <c r="E12" s="100"/>
      <c r="F12" s="100"/>
      <c r="G12" s="174">
        <f>'B-Angaben Bieter'!I25</f>
        <v>1200</v>
      </c>
      <c r="H12" s="86" t="s">
        <v>16</v>
      </c>
      <c r="I12" s="223"/>
      <c r="J12" s="223"/>
      <c r="K12" s="223"/>
      <c r="L12" s="223"/>
      <c r="M12" s="223"/>
      <c r="N12" s="223"/>
      <c r="O12" s="223"/>
      <c r="P12" s="223">
        <f>SUM(G12*(H4^7))</f>
        <v>1579.1181350830084</v>
      </c>
      <c r="Q12" s="223"/>
      <c r="R12" s="223"/>
      <c r="S12" s="223"/>
      <c r="T12" s="223"/>
      <c r="U12" s="223"/>
      <c r="V12" s="223"/>
      <c r="W12" s="223"/>
      <c r="X12" s="98">
        <f>SUM(I12:W12)</f>
        <v>1579.1181350830084</v>
      </c>
      <c r="Y12" s="84" t="s">
        <v>16</v>
      </c>
    </row>
    <row r="13" spans="1:25" x14ac:dyDescent="0.25">
      <c r="A13" s="100" t="s">
        <v>205</v>
      </c>
      <c r="B13" s="101" t="s">
        <v>246</v>
      </c>
      <c r="C13" s="100"/>
      <c r="D13" s="100"/>
      <c r="E13" s="100"/>
      <c r="F13" s="100"/>
      <c r="G13" s="174">
        <f>'B-Angaben Bieter'!I26</f>
        <v>500</v>
      </c>
      <c r="H13" s="86" t="s">
        <v>16</v>
      </c>
      <c r="I13" s="223"/>
      <c r="J13" s="223"/>
      <c r="K13" s="223"/>
      <c r="L13" s="223"/>
      <c r="M13" s="223"/>
      <c r="N13" s="223">
        <f>SUM(G13*(H4^5))</f>
        <v>608.32645120000018</v>
      </c>
      <c r="O13" s="223"/>
      <c r="P13" s="223"/>
      <c r="Q13" s="223"/>
      <c r="R13" s="223"/>
      <c r="S13" s="223" t="s">
        <v>111</v>
      </c>
      <c r="T13" s="223">
        <f>SUM(N13*(H4^6))</f>
        <v>769.72702815753928</v>
      </c>
      <c r="U13" s="223"/>
      <c r="V13" s="223"/>
      <c r="W13" s="223"/>
      <c r="X13" s="98">
        <f t="shared" ref="X13:X29" si="0">SUM(I13:W13)</f>
        <v>1378.0534793575393</v>
      </c>
      <c r="Y13" s="84" t="s">
        <v>16</v>
      </c>
    </row>
    <row r="14" spans="1:25" x14ac:dyDescent="0.25">
      <c r="A14" s="100" t="s">
        <v>206</v>
      </c>
      <c r="B14" s="101" t="s">
        <v>247</v>
      </c>
      <c r="C14" s="100"/>
      <c r="D14" s="100"/>
      <c r="E14" s="100"/>
      <c r="F14" s="100"/>
      <c r="G14" s="174">
        <f>'B-Angaben Bieter'!I27</f>
        <v>400</v>
      </c>
      <c r="H14" s="86" t="s">
        <v>16</v>
      </c>
      <c r="I14" s="223"/>
      <c r="J14" s="223"/>
      <c r="K14" s="223"/>
      <c r="L14" s="223"/>
      <c r="M14" s="223"/>
      <c r="N14" s="223">
        <f>SUM(G14*(H4^5))</f>
        <v>486.66116096000013</v>
      </c>
      <c r="O14" s="223"/>
      <c r="P14" s="223"/>
      <c r="Q14" s="223"/>
      <c r="R14" s="223"/>
      <c r="S14" s="223"/>
      <c r="T14" s="223">
        <f>SUM(N14*(H4^6))</f>
        <v>615.78162252603147</v>
      </c>
      <c r="U14" s="223"/>
      <c r="V14" s="223"/>
      <c r="W14" s="223"/>
      <c r="X14" s="98">
        <f t="shared" si="0"/>
        <v>1102.4427834860317</v>
      </c>
      <c r="Y14" s="84" t="s">
        <v>16</v>
      </c>
    </row>
    <row r="15" spans="1:25" x14ac:dyDescent="0.25">
      <c r="A15" s="100" t="s">
        <v>207</v>
      </c>
      <c r="B15" s="101" t="s">
        <v>175</v>
      </c>
      <c r="C15" s="100"/>
      <c r="D15" s="100"/>
      <c r="E15" s="100"/>
      <c r="F15" s="100"/>
      <c r="G15" s="174">
        <f>'B-Angaben Bieter'!I28</f>
        <v>250</v>
      </c>
      <c r="H15" s="86" t="s">
        <v>16</v>
      </c>
      <c r="I15" s="223"/>
      <c r="J15" s="223"/>
      <c r="K15" s="223"/>
      <c r="L15" s="223"/>
      <c r="M15" s="223"/>
      <c r="N15" s="223">
        <f>SUM(G15*(H4^5))</f>
        <v>304.16322560000009</v>
      </c>
      <c r="O15" s="223"/>
      <c r="P15" s="223"/>
      <c r="Q15" s="223"/>
      <c r="R15" s="223"/>
      <c r="S15" s="223"/>
      <c r="T15" s="223">
        <f>SUM(N15*(H4^6))</f>
        <v>384.86351407876964</v>
      </c>
      <c r="U15" s="223"/>
      <c r="V15" s="223"/>
      <c r="W15" s="223"/>
      <c r="X15" s="98">
        <f t="shared" si="0"/>
        <v>689.02673967876967</v>
      </c>
      <c r="Y15" s="84" t="s">
        <v>16</v>
      </c>
    </row>
    <row r="16" spans="1:25" x14ac:dyDescent="0.25">
      <c r="A16" s="100" t="s">
        <v>208</v>
      </c>
      <c r="B16" s="101" t="s">
        <v>239</v>
      </c>
      <c r="C16" s="100"/>
      <c r="D16" s="100"/>
      <c r="E16" s="100"/>
      <c r="F16" s="100"/>
      <c r="G16" s="174">
        <f>'B-Angaben Bieter'!I29</f>
        <v>200</v>
      </c>
      <c r="H16" s="86" t="s">
        <v>16</v>
      </c>
      <c r="I16" s="223"/>
      <c r="J16" s="223"/>
      <c r="K16" s="223"/>
      <c r="L16" s="223"/>
      <c r="M16" s="223"/>
      <c r="N16" s="223"/>
      <c r="O16" s="223"/>
      <c r="P16" s="223">
        <f>SUM(G16*(H4^7))</f>
        <v>263.18635584716804</v>
      </c>
      <c r="Q16" s="223"/>
      <c r="R16" s="223"/>
      <c r="S16" s="223"/>
      <c r="T16" s="223"/>
      <c r="U16" s="223"/>
      <c r="V16" s="223"/>
      <c r="W16" s="223"/>
      <c r="X16" s="98">
        <f t="shared" si="0"/>
        <v>263.18635584716804</v>
      </c>
      <c r="Y16" s="84" t="s">
        <v>16</v>
      </c>
    </row>
    <row r="17" spans="1:27" x14ac:dyDescent="0.25">
      <c r="A17" s="100" t="s">
        <v>209</v>
      </c>
      <c r="B17" s="101" t="s">
        <v>240</v>
      </c>
      <c r="C17" s="100"/>
      <c r="D17" s="100"/>
      <c r="E17" s="100"/>
      <c r="F17" s="100"/>
      <c r="G17" s="174">
        <f>'B-Angaben Bieter'!I30</f>
        <v>1500</v>
      </c>
      <c r="H17" s="86" t="s">
        <v>16</v>
      </c>
      <c r="I17" s="223"/>
      <c r="J17" s="223"/>
      <c r="K17" s="223"/>
      <c r="L17" s="223"/>
      <c r="M17" s="223"/>
      <c r="N17" s="223"/>
      <c r="O17" s="223"/>
      <c r="P17" s="223">
        <f>SUM(G17*(H4^7))</f>
        <v>1973.8976688537605</v>
      </c>
      <c r="Q17" s="223"/>
      <c r="R17" s="223"/>
      <c r="S17" s="223"/>
      <c r="T17" s="223"/>
      <c r="U17" s="223"/>
      <c r="V17" s="223"/>
      <c r="W17" s="223"/>
      <c r="X17" s="98">
        <f t="shared" si="0"/>
        <v>1973.8976688537605</v>
      </c>
      <c r="Y17" s="84" t="s">
        <v>16</v>
      </c>
    </row>
    <row r="18" spans="1:27" x14ac:dyDescent="0.25">
      <c r="A18" s="100" t="s">
        <v>242</v>
      </c>
      <c r="B18" s="101" t="s">
        <v>241</v>
      </c>
      <c r="C18" s="100"/>
      <c r="D18" s="100"/>
      <c r="E18" s="100"/>
      <c r="F18" s="100"/>
      <c r="G18" s="174">
        <f>'B-Angaben Bieter'!I31</f>
        <v>1000</v>
      </c>
      <c r="H18" s="86" t="s">
        <v>16</v>
      </c>
      <c r="I18" s="223"/>
      <c r="J18" s="223"/>
      <c r="K18" s="223"/>
      <c r="L18" s="223"/>
      <c r="M18" s="223"/>
      <c r="N18" s="223"/>
      <c r="O18" s="223"/>
      <c r="P18" s="223">
        <f>SUM(G18*(H4^7))</f>
        <v>1315.9317792358402</v>
      </c>
      <c r="Q18" s="223"/>
      <c r="R18" s="223"/>
      <c r="S18" s="223"/>
      <c r="T18" s="223"/>
      <c r="U18" s="223"/>
      <c r="V18" s="223"/>
      <c r="W18" s="223"/>
      <c r="X18" s="98">
        <f t="shared" si="0"/>
        <v>1315.9317792358402</v>
      </c>
      <c r="Y18" s="84" t="s">
        <v>16</v>
      </c>
      <c r="Z18" s="242">
        <f>SUM(X10:X18)</f>
        <v>16649.605324225478</v>
      </c>
      <c r="AA18" s="84" t="s">
        <v>16</v>
      </c>
    </row>
    <row r="19" spans="1:27" x14ac:dyDescent="0.25">
      <c r="B19" s="172"/>
      <c r="C19" s="1"/>
      <c r="D19" s="1"/>
      <c r="E19" s="1"/>
      <c r="F19" s="1"/>
      <c r="G19" s="173"/>
      <c r="H19" s="86"/>
      <c r="I19" s="95"/>
      <c r="J19" s="95"/>
      <c r="K19" s="95"/>
      <c r="L19" s="95"/>
      <c r="M19" s="95"/>
      <c r="N19" s="95"/>
      <c r="O19" s="95"/>
      <c r="P19" s="95"/>
      <c r="Q19" s="95"/>
      <c r="R19" s="95"/>
      <c r="S19" s="95"/>
      <c r="T19" s="95"/>
      <c r="U19" s="95"/>
      <c r="V19" s="95"/>
      <c r="W19" s="95"/>
      <c r="X19" s="95"/>
    </row>
    <row r="20" spans="1:27" x14ac:dyDescent="0.25">
      <c r="B20" s="87" t="s">
        <v>27</v>
      </c>
      <c r="H20" s="86"/>
      <c r="I20" s="95"/>
      <c r="J20" s="95"/>
      <c r="K20" s="95"/>
      <c r="L20" s="95"/>
      <c r="M20" s="95"/>
      <c r="N20" s="95"/>
      <c r="O20" s="95"/>
      <c r="P20" s="95"/>
      <c r="Q20" s="95"/>
      <c r="R20" s="95"/>
      <c r="S20" s="95"/>
      <c r="T20" s="95"/>
      <c r="U20" s="95"/>
      <c r="V20" s="95"/>
      <c r="W20" s="95"/>
      <c r="X20" s="95"/>
    </row>
    <row r="21" spans="1:27" x14ac:dyDescent="0.25">
      <c r="A21" s="100" t="s">
        <v>210</v>
      </c>
      <c r="B21" s="501" t="s">
        <v>233</v>
      </c>
      <c r="C21" s="374"/>
      <c r="D21" s="374"/>
      <c r="E21" s="374"/>
      <c r="F21" s="374"/>
      <c r="G21" s="175">
        <f>'B-Angaben Bieter'!I34</f>
        <v>10000</v>
      </c>
      <c r="H21" s="86" t="s">
        <v>16</v>
      </c>
      <c r="I21" s="223"/>
      <c r="J21" s="223"/>
      <c r="K21" s="223"/>
      <c r="L21" s="223"/>
      <c r="M21" s="223"/>
      <c r="N21" s="223"/>
      <c r="O21" s="223"/>
      <c r="P21" s="223"/>
      <c r="Q21" s="223"/>
      <c r="R21" s="223">
        <f>SUM(G21*(H4^9))</f>
        <v>14233.118124214852</v>
      </c>
      <c r="S21" s="223"/>
      <c r="T21" s="223"/>
      <c r="U21" s="223"/>
      <c r="V21" s="223"/>
      <c r="W21" s="223"/>
      <c r="X21" s="98">
        <f t="shared" si="0"/>
        <v>14233.118124214852</v>
      </c>
      <c r="Y21" s="84" t="s">
        <v>16</v>
      </c>
    </row>
    <row r="22" spans="1:27" x14ac:dyDescent="0.25">
      <c r="A22" s="100" t="s">
        <v>211</v>
      </c>
      <c r="B22" s="101" t="s">
        <v>234</v>
      </c>
      <c r="C22" s="101"/>
      <c r="D22" s="101"/>
      <c r="E22" s="101"/>
      <c r="F22" s="101"/>
      <c r="G22" s="175">
        <f>'B-Angaben Bieter'!I35</f>
        <v>8000</v>
      </c>
      <c r="H22" s="86" t="s">
        <v>16</v>
      </c>
      <c r="I22" s="223"/>
      <c r="J22" s="223"/>
      <c r="K22" s="223"/>
      <c r="L22" s="223"/>
      <c r="M22" s="223"/>
      <c r="N22" s="223"/>
      <c r="O22" s="223"/>
      <c r="P22" s="223"/>
      <c r="Q22" s="223">
        <f>SUM(G22*(H4^8))</f>
        <v>10948.552403242193</v>
      </c>
      <c r="R22" s="223"/>
      <c r="S22" s="223"/>
      <c r="T22" s="223"/>
      <c r="U22" s="223"/>
      <c r="V22" s="223"/>
      <c r="W22" s="223"/>
      <c r="X22" s="98">
        <f t="shared" si="0"/>
        <v>10948.552403242193</v>
      </c>
      <c r="Y22" s="84" t="s">
        <v>16</v>
      </c>
    </row>
    <row r="23" spans="1:27" x14ac:dyDescent="0.25">
      <c r="A23" s="100" t="s">
        <v>212</v>
      </c>
      <c r="B23" s="101" t="s">
        <v>235</v>
      </c>
      <c r="C23" s="101"/>
      <c r="D23" s="101"/>
      <c r="E23" s="101"/>
      <c r="F23" s="101"/>
      <c r="G23" s="175">
        <f>'B-Angaben Bieter'!I36</f>
        <v>3500</v>
      </c>
      <c r="H23" s="86" t="s">
        <v>16</v>
      </c>
      <c r="I23" s="223"/>
      <c r="J23" s="223"/>
      <c r="K23" s="223"/>
      <c r="L23" s="223"/>
      <c r="M23" s="223"/>
      <c r="N23" s="223"/>
      <c r="O23" s="223"/>
      <c r="P23" s="223"/>
      <c r="Q23" s="223"/>
      <c r="R23" s="223"/>
      <c r="S23" s="223"/>
      <c r="T23" s="223">
        <f>SUM(G23*(H4)^11)</f>
        <v>5388.0891971027741</v>
      </c>
      <c r="U23" s="223"/>
      <c r="V23" s="223"/>
      <c r="W23" s="223"/>
      <c r="X23" s="98">
        <f t="shared" si="0"/>
        <v>5388.0891971027741</v>
      </c>
      <c r="Y23" s="84" t="s">
        <v>16</v>
      </c>
      <c r="Z23" s="242">
        <f>SUM(X21:X23)</f>
        <v>30569.759724559819</v>
      </c>
      <c r="AA23" s="84" t="s">
        <v>16</v>
      </c>
    </row>
    <row r="24" spans="1:27" x14ac:dyDescent="0.25">
      <c r="A24" s="100" t="s">
        <v>213</v>
      </c>
      <c r="B24" s="101" t="s">
        <v>28</v>
      </c>
      <c r="C24" s="101"/>
      <c r="D24" s="101"/>
      <c r="E24" s="101"/>
      <c r="F24" s="101"/>
      <c r="G24" s="176">
        <f>'B-Angaben Bieter'!I37</f>
        <v>1000000</v>
      </c>
      <c r="H24" s="86" t="s">
        <v>176</v>
      </c>
      <c r="I24" s="223"/>
      <c r="J24" s="223"/>
      <c r="K24" s="223"/>
      <c r="L24" s="223"/>
      <c r="M24" s="223"/>
      <c r="N24" s="223"/>
      <c r="O24" s="223"/>
      <c r="P24" s="223"/>
      <c r="Q24" s="223"/>
      <c r="R24" s="223"/>
      <c r="S24" s="223"/>
      <c r="T24" s="223"/>
      <c r="U24" s="223"/>
      <c r="V24" s="223"/>
      <c r="W24" s="223"/>
      <c r="X24" s="177">
        <f>G24</f>
        <v>1000000</v>
      </c>
      <c r="Y24" s="84" t="s">
        <v>176</v>
      </c>
    </row>
    <row r="25" spans="1:27" x14ac:dyDescent="0.25">
      <c r="I25" s="95"/>
      <c r="J25" s="95"/>
      <c r="K25" s="95"/>
      <c r="L25" s="95"/>
      <c r="M25" s="95"/>
      <c r="N25" s="95"/>
      <c r="O25" s="95"/>
      <c r="P25" s="95"/>
      <c r="Q25" s="95"/>
      <c r="R25" s="95"/>
      <c r="S25" s="95"/>
      <c r="T25" s="95"/>
      <c r="U25" s="95"/>
      <c r="V25" s="95"/>
      <c r="W25" s="95"/>
      <c r="X25" s="95"/>
    </row>
    <row r="26" spans="1:27" x14ac:dyDescent="0.25">
      <c r="B26" s="87" t="s">
        <v>29</v>
      </c>
      <c r="H26" s="86"/>
      <c r="I26" s="95"/>
      <c r="J26" s="95"/>
      <c r="K26" s="95"/>
      <c r="L26" s="95"/>
      <c r="M26" s="95"/>
      <c r="N26" s="95"/>
      <c r="O26" s="95"/>
      <c r="P26" s="95"/>
      <c r="Q26" s="95"/>
      <c r="R26" s="95"/>
      <c r="S26" s="95"/>
      <c r="T26" s="95"/>
      <c r="U26" s="95"/>
      <c r="V26" s="95"/>
      <c r="W26" s="95"/>
      <c r="X26" s="95"/>
    </row>
    <row r="27" spans="1:27" x14ac:dyDescent="0.25">
      <c r="A27" s="100" t="s">
        <v>214</v>
      </c>
      <c r="B27" s="101" t="s">
        <v>232</v>
      </c>
      <c r="C27" s="100"/>
      <c r="D27" s="100"/>
      <c r="E27" s="100"/>
      <c r="F27" s="100"/>
      <c r="G27" s="174">
        <f t="array" ref="G27">'B-Angaben Bieter'!I40:I40</f>
        <v>2000</v>
      </c>
      <c r="H27" s="86" t="s">
        <v>16</v>
      </c>
      <c r="I27" s="223"/>
      <c r="J27" s="223"/>
      <c r="K27" s="223"/>
      <c r="L27" s="223"/>
      <c r="M27" s="223"/>
      <c r="N27" s="223">
        <f>SUM(G27*(H4^5))</f>
        <v>2433.3058048000007</v>
      </c>
      <c r="O27" s="223"/>
      <c r="P27" s="223"/>
      <c r="Q27" s="223"/>
      <c r="R27" s="223"/>
      <c r="S27" s="223"/>
      <c r="T27" s="223">
        <f>SUM(N27*(H4^6))</f>
        <v>3078.9081126301571</v>
      </c>
      <c r="U27" s="223"/>
      <c r="V27" s="223"/>
      <c r="W27" s="223"/>
      <c r="X27" s="98">
        <f t="shared" si="0"/>
        <v>5512.2139174301574</v>
      </c>
      <c r="Y27" s="84" t="s">
        <v>16</v>
      </c>
    </row>
    <row r="28" spans="1:27" x14ac:dyDescent="0.25">
      <c r="A28" s="100" t="s">
        <v>215</v>
      </c>
      <c r="B28" s="101" t="s">
        <v>237</v>
      </c>
      <c r="C28" s="100"/>
      <c r="D28" s="100"/>
      <c r="E28" s="100"/>
      <c r="F28" s="100"/>
      <c r="G28" s="174">
        <f>'B-Angaben Bieter'!I41</f>
        <v>2000</v>
      </c>
      <c r="H28" s="86" t="s">
        <v>16</v>
      </c>
      <c r="I28" s="223"/>
      <c r="J28" s="223"/>
      <c r="K28" s="223"/>
      <c r="L28" s="223"/>
      <c r="M28" s="223"/>
      <c r="N28" s="223">
        <f>SUM(G28*(H4^5))</f>
        <v>2433.3058048000007</v>
      </c>
      <c r="O28" s="223"/>
      <c r="P28" s="223"/>
      <c r="Q28" s="223"/>
      <c r="R28" s="223"/>
      <c r="S28" s="223"/>
      <c r="T28" s="223">
        <f>SUM(N28*(H4^6))</f>
        <v>3078.9081126301571</v>
      </c>
      <c r="U28" s="223"/>
      <c r="V28" s="223"/>
      <c r="W28" s="223"/>
      <c r="X28" s="98">
        <f t="shared" si="0"/>
        <v>5512.2139174301574</v>
      </c>
      <c r="Y28" s="84" t="s">
        <v>16</v>
      </c>
    </row>
    <row r="29" spans="1:27" x14ac:dyDescent="0.25">
      <c r="A29" s="100" t="s">
        <v>216</v>
      </c>
      <c r="B29" s="101" t="s">
        <v>238</v>
      </c>
      <c r="C29" s="100"/>
      <c r="D29" s="100"/>
      <c r="E29" s="100"/>
      <c r="F29" s="100"/>
      <c r="G29" s="174">
        <f>'B-Angaben Bieter'!I42</f>
        <v>500</v>
      </c>
      <c r="H29" s="86" t="s">
        <v>16</v>
      </c>
      <c r="I29" s="223"/>
      <c r="J29" s="223"/>
      <c r="K29" s="223"/>
      <c r="L29" s="223"/>
      <c r="M29" s="223"/>
      <c r="N29" s="223"/>
      <c r="O29" s="223"/>
      <c r="P29" s="223"/>
      <c r="Q29" s="223">
        <f>SUM(G29*(H4^8))</f>
        <v>684.28452520263704</v>
      </c>
      <c r="R29" s="223"/>
      <c r="S29" s="223"/>
      <c r="T29" s="223"/>
      <c r="U29" s="223"/>
      <c r="V29" s="223"/>
      <c r="W29" s="223"/>
      <c r="X29" s="98">
        <f t="shared" si="0"/>
        <v>684.28452520263704</v>
      </c>
      <c r="Y29" s="84" t="s">
        <v>16</v>
      </c>
      <c r="Z29" s="242">
        <f>SUM(X27:X30)</f>
        <v>13248.16641637803</v>
      </c>
      <c r="AA29" s="84" t="s">
        <v>16</v>
      </c>
    </row>
    <row r="30" spans="1:27" x14ac:dyDescent="0.25">
      <c r="A30" s="100" t="s">
        <v>212</v>
      </c>
      <c r="B30" s="101" t="s">
        <v>235</v>
      </c>
      <c r="C30" s="101"/>
      <c r="D30" s="101"/>
      <c r="E30" s="101"/>
      <c r="F30" s="101"/>
      <c r="G30" s="175">
        <f>'B-Angaben Bieter'!I43</f>
        <v>1000</v>
      </c>
      <c r="H30" s="86" t="s">
        <v>16</v>
      </c>
      <c r="I30" s="223"/>
      <c r="J30" s="223"/>
      <c r="K30" s="223"/>
      <c r="L30" s="223"/>
      <c r="M30" s="223"/>
      <c r="N30" s="223"/>
      <c r="O30" s="223"/>
      <c r="P30" s="223"/>
      <c r="Q30" s="223"/>
      <c r="R30" s="223"/>
      <c r="S30" s="223"/>
      <c r="T30" s="223">
        <f>SUM(G30*(H4)^11)</f>
        <v>1539.4540563150783</v>
      </c>
      <c r="U30" s="223"/>
      <c r="V30" s="223"/>
      <c r="W30" s="223"/>
      <c r="X30" s="98">
        <f>SUM(I30:W30)</f>
        <v>1539.4540563150783</v>
      </c>
      <c r="Y30" s="84" t="s">
        <v>16</v>
      </c>
    </row>
    <row r="31" spans="1:27" x14ac:dyDescent="0.25">
      <c r="I31" s="95"/>
      <c r="J31" s="95"/>
      <c r="K31" s="95"/>
      <c r="L31" s="95"/>
      <c r="M31" s="95"/>
      <c r="N31" s="95"/>
      <c r="O31" s="95"/>
      <c r="P31" s="95"/>
      <c r="Q31" s="95"/>
      <c r="R31" s="95"/>
      <c r="S31" s="95"/>
      <c r="T31" s="95"/>
      <c r="U31" s="95"/>
      <c r="V31" s="95"/>
      <c r="W31" s="95"/>
      <c r="X31" s="95"/>
    </row>
    <row r="32" spans="1:27" x14ac:dyDescent="0.25">
      <c r="B32" s="87" t="s">
        <v>490</v>
      </c>
      <c r="I32" s="242">
        <f>SUM(Z18+Z23)</f>
        <v>47219.365048785301</v>
      </c>
      <c r="J32" s="95" t="s">
        <v>16</v>
      </c>
      <c r="K32" s="95"/>
      <c r="L32" s="95"/>
      <c r="M32" s="95"/>
      <c r="N32" s="95"/>
      <c r="O32" s="95"/>
      <c r="P32" s="95"/>
      <c r="Q32" s="95"/>
      <c r="R32" s="95"/>
      <c r="S32" s="95"/>
      <c r="T32" s="95"/>
      <c r="U32" s="95"/>
      <c r="V32" s="95"/>
      <c r="W32" s="95"/>
      <c r="X32" s="178"/>
    </row>
    <row r="33" spans="2:24" x14ac:dyDescent="0.25">
      <c r="B33" s="87"/>
      <c r="I33" s="95"/>
      <c r="J33" s="95"/>
      <c r="K33" s="95"/>
      <c r="L33" s="95"/>
      <c r="M33" s="95"/>
      <c r="N33" s="95"/>
      <c r="O33" s="95"/>
      <c r="P33" s="95"/>
      <c r="Q33" s="95"/>
      <c r="R33" s="95"/>
      <c r="S33" s="95"/>
      <c r="T33" s="95"/>
      <c r="U33" s="95"/>
      <c r="V33" s="95"/>
      <c r="W33" s="95"/>
      <c r="X33" s="178"/>
    </row>
    <row r="34" spans="2:24" x14ac:dyDescent="0.25">
      <c r="B34" s="87" t="s">
        <v>491</v>
      </c>
      <c r="I34" s="242">
        <f>SUM(Z18+Z29)</f>
        <v>29897.771740603508</v>
      </c>
      <c r="J34" s="95" t="s">
        <v>16</v>
      </c>
      <c r="K34" s="95"/>
      <c r="L34" s="95"/>
      <c r="M34" s="95"/>
      <c r="N34" s="95"/>
      <c r="O34" s="95"/>
      <c r="P34" s="95"/>
      <c r="Q34" s="95"/>
      <c r="R34" s="95"/>
      <c r="S34" s="95"/>
      <c r="T34" s="95"/>
      <c r="U34" s="95"/>
      <c r="V34" s="95"/>
      <c r="W34" s="95"/>
      <c r="X34" s="178"/>
    </row>
  </sheetData>
  <sheetProtection algorithmName="SHA-512" hashValue="17j5lgzpTmIoih6oT5XO23n+r2yZFbXfFHc9BYPXe5vmAHpgBuzSd9RmqTRva6iOIo5vgFzJAJTf75r1UYGOcA==" saltValue="PYIvq04hHqHN1wYNewWaVw==" spinCount="100000" sheet="1" objects="1" scenarios="1"/>
  <mergeCells count="4">
    <mergeCell ref="B11:F11"/>
    <mergeCell ref="B10:F10"/>
    <mergeCell ref="B21:F21"/>
    <mergeCell ref="A1:G1"/>
  </mergeCells>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45E395-684D-4C3E-946E-0B182A1E70B9}">
  <sheetPr>
    <tabColor theme="9" tint="0.79998168889431442"/>
  </sheetPr>
  <dimension ref="A1:P44"/>
  <sheetViews>
    <sheetView zoomScale="85" zoomScaleNormal="85" workbookViewId="0">
      <selection activeCell="F30" sqref="F30"/>
    </sheetView>
  </sheetViews>
  <sheetFormatPr baseColWidth="10" defaultColWidth="11.42578125" defaultRowHeight="15" x14ac:dyDescent="0.25"/>
  <cols>
    <col min="1" max="1" width="8.7109375" style="92" customWidth="1"/>
    <col min="2" max="8" width="11.42578125" style="84"/>
    <col min="9" max="9" width="16.85546875" style="84" customWidth="1"/>
    <col min="10" max="16384" width="11.42578125" style="84"/>
  </cols>
  <sheetData>
    <row r="1" spans="1:13" ht="18" x14ac:dyDescent="0.25">
      <c r="A1" s="147" t="s">
        <v>124</v>
      </c>
      <c r="B1" s="148"/>
      <c r="C1" s="148"/>
      <c r="D1" s="148"/>
      <c r="E1" s="148"/>
      <c r="F1" s="148"/>
      <c r="G1" s="148"/>
      <c r="H1" s="148"/>
      <c r="I1" s="148"/>
      <c r="J1" s="148"/>
      <c r="K1" s="148"/>
      <c r="L1" s="148"/>
      <c r="M1" s="148"/>
    </row>
    <row r="2" spans="1:13" x14ac:dyDescent="0.25">
      <c r="A2" s="93"/>
      <c r="B2" s="121"/>
      <c r="C2" s="121"/>
      <c r="D2" s="121"/>
      <c r="E2" s="121"/>
      <c r="F2" s="121"/>
      <c r="G2" s="121"/>
      <c r="H2" s="121"/>
    </row>
    <row r="3" spans="1:13" s="124" customFormat="1" ht="18" x14ac:dyDescent="0.25">
      <c r="A3" s="122"/>
      <c r="B3" s="151" t="s">
        <v>0</v>
      </c>
      <c r="C3" s="152"/>
      <c r="D3" s="123"/>
      <c r="J3" s="2" t="s">
        <v>2</v>
      </c>
    </row>
    <row r="4" spans="1:13" s="124" customFormat="1" x14ac:dyDescent="0.25">
      <c r="A4" s="122"/>
      <c r="B4" s="131"/>
      <c r="C4" s="128"/>
      <c r="J4" s="2"/>
    </row>
    <row r="5" spans="1:13" s="124" customFormat="1" x14ac:dyDescent="0.25">
      <c r="A5" s="125" t="s">
        <v>180</v>
      </c>
      <c r="B5" s="126" t="s">
        <v>166</v>
      </c>
      <c r="C5" s="126"/>
      <c r="D5" s="126"/>
      <c r="E5" s="126"/>
      <c r="F5" s="126"/>
      <c r="G5" s="126"/>
      <c r="H5" s="126"/>
      <c r="I5" s="321" t="s">
        <v>583</v>
      </c>
      <c r="J5" s="2"/>
    </row>
    <row r="6" spans="1:13" s="124" customFormat="1" x14ac:dyDescent="0.25">
      <c r="A6" s="125" t="s">
        <v>181</v>
      </c>
      <c r="B6" s="126" t="s">
        <v>167</v>
      </c>
      <c r="C6" s="126"/>
      <c r="D6" s="126"/>
      <c r="E6" s="126"/>
      <c r="F6" s="126"/>
      <c r="G6" s="126"/>
      <c r="H6" s="126"/>
      <c r="I6" s="321" t="s">
        <v>165</v>
      </c>
      <c r="J6" s="2"/>
    </row>
    <row r="7" spans="1:13" s="124" customFormat="1" x14ac:dyDescent="0.25">
      <c r="A7" s="284" t="s">
        <v>182</v>
      </c>
      <c r="B7" s="240" t="s">
        <v>168</v>
      </c>
      <c r="C7" s="126"/>
      <c r="D7" s="126"/>
      <c r="E7" s="126"/>
      <c r="F7" s="126"/>
      <c r="G7" s="126"/>
      <c r="H7" s="126"/>
      <c r="I7" s="322">
        <v>2025</v>
      </c>
      <c r="J7" s="2"/>
    </row>
    <row r="8" spans="1:13" s="124" customFormat="1" x14ac:dyDescent="0.25">
      <c r="A8" s="284" t="s">
        <v>183</v>
      </c>
      <c r="B8" s="240" t="s">
        <v>164</v>
      </c>
      <c r="C8" s="126"/>
      <c r="D8" s="126"/>
      <c r="E8" s="126"/>
      <c r="F8" s="126"/>
      <c r="G8" s="126"/>
      <c r="H8" s="126"/>
      <c r="I8" s="322">
        <v>15</v>
      </c>
      <c r="J8" s="2" t="s">
        <v>135</v>
      </c>
    </row>
    <row r="9" spans="1:13" s="124" customFormat="1" x14ac:dyDescent="0.25">
      <c r="A9" s="127"/>
      <c r="B9" s="128"/>
      <c r="C9" s="128"/>
      <c r="D9" s="128"/>
      <c r="E9" s="128"/>
      <c r="F9" s="128"/>
      <c r="G9" s="128"/>
      <c r="H9" s="128"/>
      <c r="J9" s="2"/>
    </row>
    <row r="10" spans="1:13" s="124" customFormat="1" x14ac:dyDescent="0.25">
      <c r="A10" s="284" t="s">
        <v>185</v>
      </c>
      <c r="B10" s="240" t="s">
        <v>160</v>
      </c>
      <c r="C10" s="126"/>
      <c r="D10" s="126"/>
      <c r="E10" s="126"/>
      <c r="F10" s="126"/>
      <c r="G10" s="126"/>
      <c r="H10" s="126"/>
      <c r="I10" s="322">
        <v>2</v>
      </c>
      <c r="J10" s="224" t="s">
        <v>495</v>
      </c>
    </row>
    <row r="11" spans="1:13" s="124" customFormat="1" x14ac:dyDescent="0.25">
      <c r="A11" s="125" t="s">
        <v>184</v>
      </c>
      <c r="B11" s="126" t="s">
        <v>1</v>
      </c>
      <c r="C11" s="126"/>
      <c r="D11" s="126"/>
      <c r="E11" s="126"/>
      <c r="F11" s="126"/>
      <c r="G11" s="126"/>
      <c r="H11" s="126"/>
      <c r="I11" s="323">
        <v>1000</v>
      </c>
      <c r="J11" s="2" t="s">
        <v>3</v>
      </c>
    </row>
    <row r="12" spans="1:13" s="124" customFormat="1" x14ac:dyDescent="0.25">
      <c r="A12" s="125" t="s">
        <v>186</v>
      </c>
      <c r="B12" s="126" t="s">
        <v>173</v>
      </c>
      <c r="C12" s="126"/>
      <c r="D12" s="126"/>
      <c r="E12" s="126"/>
      <c r="F12" s="126"/>
      <c r="G12" s="126"/>
      <c r="H12" s="126"/>
      <c r="I12" s="324" t="s">
        <v>109</v>
      </c>
      <c r="J12" s="2"/>
    </row>
    <row r="13" spans="1:13" s="124" customFormat="1" x14ac:dyDescent="0.25">
      <c r="A13" s="125" t="s">
        <v>187</v>
      </c>
      <c r="B13" s="126" t="s">
        <v>6</v>
      </c>
      <c r="C13" s="126"/>
      <c r="D13" s="126"/>
      <c r="E13" s="126"/>
      <c r="F13" s="126"/>
      <c r="G13" s="126"/>
      <c r="H13" s="126"/>
      <c r="I13" s="325">
        <v>1</v>
      </c>
      <c r="J13" s="2" t="s">
        <v>4</v>
      </c>
    </row>
    <row r="14" spans="1:13" s="124" customFormat="1" x14ac:dyDescent="0.25">
      <c r="A14" s="125" t="s">
        <v>188</v>
      </c>
      <c r="B14" s="126" t="s">
        <v>7</v>
      </c>
      <c r="C14" s="126"/>
      <c r="D14" s="126"/>
      <c r="E14" s="126"/>
      <c r="F14" s="126"/>
      <c r="G14" s="126"/>
      <c r="H14" s="126"/>
      <c r="I14" s="325">
        <v>20</v>
      </c>
      <c r="J14" s="2" t="s">
        <v>496</v>
      </c>
    </row>
    <row r="15" spans="1:13" s="124" customFormat="1" x14ac:dyDescent="0.25">
      <c r="A15" s="125" t="s">
        <v>189</v>
      </c>
      <c r="B15" s="126" t="s">
        <v>169</v>
      </c>
      <c r="C15" s="126"/>
      <c r="D15" s="126"/>
      <c r="E15" s="126"/>
      <c r="F15" s="126"/>
      <c r="G15" s="126"/>
      <c r="H15" s="126"/>
      <c r="I15" s="322">
        <v>6</v>
      </c>
      <c r="J15" s="2" t="s">
        <v>497</v>
      </c>
    </row>
    <row r="16" spans="1:13" s="124" customFormat="1" x14ac:dyDescent="0.25">
      <c r="A16" s="125" t="s">
        <v>190</v>
      </c>
      <c r="B16" s="126" t="s">
        <v>8</v>
      </c>
      <c r="C16" s="126"/>
      <c r="D16" s="126"/>
      <c r="E16" s="126"/>
      <c r="F16" s="126"/>
      <c r="G16" s="126"/>
      <c r="H16" s="126"/>
      <c r="I16" s="322">
        <v>365</v>
      </c>
      <c r="J16" s="2" t="s">
        <v>5</v>
      </c>
    </row>
    <row r="17" spans="1:16" s="124" customFormat="1" x14ac:dyDescent="0.25">
      <c r="A17" s="127"/>
      <c r="B17" s="128"/>
      <c r="C17" s="128"/>
      <c r="D17" s="128"/>
      <c r="E17" s="128"/>
      <c r="F17" s="128"/>
      <c r="G17" s="128"/>
      <c r="H17" s="128"/>
      <c r="J17" s="2"/>
    </row>
    <row r="18" spans="1:16" s="124" customFormat="1" x14ac:dyDescent="0.25">
      <c r="A18" s="125" t="s">
        <v>191</v>
      </c>
      <c r="B18" s="126" t="s">
        <v>174</v>
      </c>
      <c r="C18" s="126"/>
      <c r="D18" s="126"/>
      <c r="E18" s="126"/>
      <c r="F18" s="126"/>
      <c r="G18" s="126"/>
      <c r="H18" s="126"/>
      <c r="I18" s="325">
        <v>0.35</v>
      </c>
      <c r="J18" s="225" t="s">
        <v>22</v>
      </c>
      <c r="K18" s="129"/>
      <c r="L18" s="129"/>
      <c r="M18" s="129"/>
      <c r="N18" s="129"/>
      <c r="O18" s="129"/>
      <c r="P18" s="129"/>
    </row>
    <row r="19" spans="1:16" s="124" customFormat="1" x14ac:dyDescent="0.25">
      <c r="A19" s="125" t="s">
        <v>192</v>
      </c>
      <c r="B19" s="126" t="s">
        <v>170</v>
      </c>
      <c r="C19" s="126"/>
      <c r="D19" s="126"/>
      <c r="E19" s="126"/>
      <c r="F19" s="126"/>
      <c r="G19" s="126"/>
      <c r="H19" s="126"/>
      <c r="I19" s="325">
        <v>5</v>
      </c>
      <c r="J19" s="225" t="s">
        <v>171</v>
      </c>
      <c r="K19" s="129"/>
      <c r="L19" s="129"/>
      <c r="M19" s="129"/>
      <c r="N19" s="129"/>
      <c r="O19" s="129"/>
      <c r="P19" s="129"/>
    </row>
    <row r="20" spans="1:16" s="124" customFormat="1" x14ac:dyDescent="0.25">
      <c r="A20" s="125" t="s">
        <v>193</v>
      </c>
      <c r="B20" s="126" t="s">
        <v>172</v>
      </c>
      <c r="C20" s="126"/>
      <c r="D20" s="126"/>
      <c r="E20" s="126"/>
      <c r="F20" s="126"/>
      <c r="G20" s="126"/>
      <c r="H20" s="126"/>
      <c r="I20" s="325">
        <v>55</v>
      </c>
      <c r="J20" s="225" t="s">
        <v>16</v>
      </c>
      <c r="K20" s="129"/>
      <c r="L20" s="129"/>
      <c r="M20" s="129"/>
      <c r="N20" s="129"/>
      <c r="O20" s="129"/>
      <c r="P20" s="129"/>
    </row>
    <row r="21" spans="1:16" s="124" customFormat="1" ht="14.25" x14ac:dyDescent="0.2">
      <c r="A21" s="122"/>
      <c r="I21" s="129"/>
      <c r="J21" s="129"/>
      <c r="K21" s="129"/>
      <c r="L21" s="129"/>
      <c r="M21" s="129"/>
      <c r="N21" s="129"/>
      <c r="O21" s="129"/>
      <c r="P21" s="129"/>
    </row>
    <row r="22" spans="1:16" s="124" customFormat="1" x14ac:dyDescent="0.25">
      <c r="A22" s="130"/>
    </row>
    <row r="23" spans="1:16" s="124" customFormat="1" ht="29.25" customHeight="1" x14ac:dyDescent="0.25">
      <c r="A23" s="364" t="s">
        <v>603</v>
      </c>
      <c r="B23" s="365"/>
      <c r="C23" s="365"/>
      <c r="D23" s="365"/>
      <c r="E23" s="365"/>
      <c r="F23" s="365"/>
      <c r="G23" s="365"/>
      <c r="H23" s="365"/>
      <c r="I23" s="365"/>
      <c r="J23" s="366"/>
      <c r="L23"/>
      <c r="M23"/>
      <c r="N23"/>
      <c r="O23"/>
    </row>
    <row r="24" spans="1:16" s="124" customFormat="1" x14ac:dyDescent="0.25">
      <c r="A24" s="130"/>
      <c r="L24"/>
      <c r="M24"/>
      <c r="N24"/>
      <c r="O24"/>
    </row>
    <row r="25" spans="1:16" s="124" customFormat="1" x14ac:dyDescent="0.25">
      <c r="A25" s="130"/>
      <c r="L25"/>
      <c r="M25"/>
      <c r="N25"/>
      <c r="O25"/>
    </row>
    <row r="26" spans="1:16" s="124" customFormat="1" x14ac:dyDescent="0.25">
      <c r="A26" s="130"/>
      <c r="L26"/>
      <c r="M26"/>
      <c r="N26"/>
      <c r="O26"/>
    </row>
    <row r="27" spans="1:16" s="124" customFormat="1" x14ac:dyDescent="0.25">
      <c r="A27" s="130"/>
      <c r="L27"/>
      <c r="M27"/>
      <c r="N27"/>
      <c r="O27"/>
    </row>
    <row r="28" spans="1:16" s="124" customFormat="1" x14ac:dyDescent="0.25">
      <c r="A28" s="130"/>
      <c r="L28"/>
      <c r="M28"/>
      <c r="N28"/>
      <c r="O28"/>
    </row>
    <row r="29" spans="1:16" s="124" customFormat="1" x14ac:dyDescent="0.25">
      <c r="A29" s="130"/>
      <c r="L29"/>
      <c r="M29"/>
      <c r="N29"/>
      <c r="O29"/>
    </row>
    <row r="30" spans="1:16" s="124" customFormat="1" x14ac:dyDescent="0.25">
      <c r="A30" s="130"/>
      <c r="L30"/>
      <c r="M30"/>
      <c r="N30"/>
      <c r="O30"/>
    </row>
    <row r="31" spans="1:16" s="124" customFormat="1" x14ac:dyDescent="0.25">
      <c r="A31" s="130"/>
      <c r="L31"/>
      <c r="M31"/>
      <c r="N31"/>
      <c r="O31"/>
    </row>
    <row r="32" spans="1:16" s="124" customFormat="1" x14ac:dyDescent="0.25">
      <c r="A32" s="130"/>
    </row>
    <row r="33" spans="1:1" s="124" customFormat="1" x14ac:dyDescent="0.25">
      <c r="A33" s="130"/>
    </row>
    <row r="34" spans="1:1" s="124" customFormat="1" x14ac:dyDescent="0.25">
      <c r="A34" s="130"/>
    </row>
    <row r="35" spans="1:1" s="124" customFormat="1" x14ac:dyDescent="0.25">
      <c r="A35" s="130"/>
    </row>
    <row r="36" spans="1:1" s="124" customFormat="1" x14ac:dyDescent="0.25">
      <c r="A36" s="130"/>
    </row>
    <row r="37" spans="1:1" s="124" customFormat="1" x14ac:dyDescent="0.25">
      <c r="A37" s="130"/>
    </row>
    <row r="38" spans="1:1" s="124" customFormat="1" x14ac:dyDescent="0.25">
      <c r="A38" s="130"/>
    </row>
    <row r="39" spans="1:1" s="124" customFormat="1" x14ac:dyDescent="0.25">
      <c r="A39" s="130"/>
    </row>
    <row r="40" spans="1:1" s="124" customFormat="1" x14ac:dyDescent="0.25">
      <c r="A40" s="130"/>
    </row>
    <row r="41" spans="1:1" s="124" customFormat="1" x14ac:dyDescent="0.25">
      <c r="A41" s="130"/>
    </row>
    <row r="42" spans="1:1" s="124" customFormat="1" x14ac:dyDescent="0.25">
      <c r="A42" s="130"/>
    </row>
    <row r="43" spans="1:1" s="124" customFormat="1" x14ac:dyDescent="0.25">
      <c r="A43" s="130"/>
    </row>
    <row r="44" spans="1:1" s="124" customFormat="1" x14ac:dyDescent="0.25">
      <c r="A44" s="130"/>
    </row>
  </sheetData>
  <mergeCells count="1">
    <mergeCell ref="A23:J23"/>
  </mergeCells>
  <dataValidations count="7">
    <dataValidation type="list" allowBlank="1" showInputMessage="1" showErrorMessage="1" sqref="I5" xr:uid="{2CFF5A9A-A044-4DBA-BC21-A0F90A35F024}">
      <formula1>"Bürogebäude,Wohnhaus,Krankenhaus,Schule,Geschäftshaus,Hotel,Bahnhof,Flughafen,andere"</formula1>
    </dataValidation>
    <dataValidation type="list" allowBlank="1" showInputMessage="1" showErrorMessage="1" sqref="I6" xr:uid="{F2875AF8-6DB0-44F6-ACF4-641A53B4A9F2}">
      <formula1>"Personenaufzug,Lastenaufzug,Bettenaufzug,Unterfluraufzug,Hubtisch"</formula1>
    </dataValidation>
    <dataValidation type="list" allowBlank="1" showInputMessage="1" showErrorMessage="1" sqref="I12" xr:uid="{28A121A4-20E1-421B-A409-ED2C8488AD2B}">
      <formula1>"Seil, Hydraulik"</formula1>
    </dataValidation>
    <dataValidation type="list" allowBlank="1" showInputMessage="1" showErrorMessage="1" sqref="I10" xr:uid="{3D5D5F84-BA9D-41D2-94A7-2656E5D4F09E}">
      <formula1>"1, 2, 3, 4, 5"</formula1>
    </dataValidation>
    <dataValidation type="list" allowBlank="1" showInputMessage="1" showErrorMessage="1" sqref="I11" xr:uid="{D63D4181-0B71-4CB1-9534-D7B32B5BFE5D}">
      <formula1>"320, 450, 500, 630, 800, 1000, 1500, 1800, 2000, 2500, 3000"</formula1>
    </dataValidation>
    <dataValidation type="list" allowBlank="1" showInputMessage="1" showErrorMessage="1" sqref="I13" xr:uid="{92E55C58-8888-4903-B1C3-2299EAEC310E}">
      <mc:AlternateContent xmlns:x12ac="http://schemas.microsoft.com/office/spreadsheetml/2011/1/ac" xmlns:mc="http://schemas.openxmlformats.org/markup-compatibility/2006">
        <mc:Choice Requires="x12ac">
          <x12ac:list>"0,15"," 0,3"," 0,5"," 0,63"," 0,8"," 1,0"," 1,2"," 1,6"," 2,0"," 2,5"</x12ac:list>
        </mc:Choice>
        <mc:Fallback>
          <formula1>"0,15, 0,3, 0,5, 0,63, 0,8, 1,0, 1,2, 1,6, 2,0, 2,5"</formula1>
        </mc:Fallback>
      </mc:AlternateContent>
    </dataValidation>
    <dataValidation type="list" allowBlank="1" showInputMessage="1" showErrorMessage="1" sqref="I15" xr:uid="{7327E803-E396-4C95-82B1-504D8A00E2DC}">
      <formula1>"2, 3, 4, 5, 6, 7, 8, 9, 10"</formula1>
    </dataValidation>
  </dataValidations>
  <pageMargins left="0.7" right="0.7" top="0.78740157499999996" bottom="0.78740157499999996"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B4B34-ED54-4404-A57E-0BFB43932CB5}">
  <sheetPr>
    <tabColor theme="5" tint="0.79998168889431442"/>
  </sheetPr>
  <dimension ref="A1:R54"/>
  <sheetViews>
    <sheetView zoomScale="85" zoomScaleNormal="85" workbookViewId="0">
      <selection activeCell="F30" sqref="F30"/>
    </sheetView>
  </sheetViews>
  <sheetFormatPr baseColWidth="10" defaultColWidth="11.42578125" defaultRowHeight="15" x14ac:dyDescent="0.25"/>
  <cols>
    <col min="1" max="1" width="7.7109375" style="130" customWidth="1"/>
    <col min="2" max="7" width="11.42578125" style="124"/>
    <col min="8" max="8" width="25" style="124" customWidth="1"/>
    <col min="9" max="9" width="17" style="124" customWidth="1"/>
    <col min="10" max="10" width="9.85546875" style="124" customWidth="1"/>
    <col min="11" max="14" width="11.42578125" style="124"/>
    <col min="15" max="15" width="9.85546875" style="124" customWidth="1"/>
    <col min="16" max="16384" width="11.42578125" style="124"/>
  </cols>
  <sheetData>
    <row r="1" spans="1:18" ht="18" x14ac:dyDescent="0.25">
      <c r="A1" s="147" t="s">
        <v>124</v>
      </c>
      <c r="B1" s="148"/>
      <c r="C1" s="148"/>
      <c r="D1" s="148"/>
      <c r="E1" s="148"/>
      <c r="F1" s="148"/>
      <c r="G1" s="148"/>
      <c r="H1" s="148"/>
      <c r="I1" s="148"/>
      <c r="J1" s="148"/>
      <c r="K1" s="148"/>
      <c r="L1" s="148"/>
      <c r="M1" s="148"/>
      <c r="N1" s="148"/>
      <c r="O1" s="148"/>
    </row>
    <row r="2" spans="1:18" ht="6" customHeight="1" x14ac:dyDescent="0.25">
      <c r="A2" s="132"/>
    </row>
    <row r="3" spans="1:18" ht="18" x14ac:dyDescent="0.25">
      <c r="B3" s="149" t="s">
        <v>9</v>
      </c>
      <c r="C3" s="150"/>
      <c r="D3" s="128"/>
      <c r="K3" s="129"/>
      <c r="L3" s="129"/>
      <c r="M3" s="129"/>
      <c r="N3" s="129"/>
      <c r="O3" s="129"/>
      <c r="P3" s="129"/>
      <c r="Q3" s="129"/>
      <c r="R3" s="129"/>
    </row>
    <row r="4" spans="1:18" ht="6.75" customHeight="1" x14ac:dyDescent="0.25">
      <c r="B4" s="155"/>
      <c r="C4" s="156"/>
      <c r="D4" s="128"/>
      <c r="I4" s="128"/>
      <c r="K4" s="129"/>
      <c r="L4" s="129"/>
      <c r="M4" s="129"/>
      <c r="N4" s="129"/>
      <c r="O4" s="129"/>
      <c r="P4" s="129"/>
      <c r="Q4" s="129"/>
      <c r="R4" s="129"/>
    </row>
    <row r="5" spans="1:18" x14ac:dyDescent="0.25">
      <c r="A5" s="137"/>
      <c r="B5" s="138" t="s">
        <v>14</v>
      </c>
      <c r="C5" s="139"/>
      <c r="D5" s="139"/>
      <c r="E5" s="139"/>
      <c r="F5" s="139"/>
      <c r="G5" s="139"/>
      <c r="H5" s="139"/>
      <c r="I5" s="139"/>
      <c r="J5" s="139"/>
      <c r="K5" s="129"/>
      <c r="L5" s="129"/>
      <c r="M5" s="129"/>
      <c r="N5" s="129"/>
      <c r="O5" s="129"/>
      <c r="P5" s="129"/>
      <c r="Q5" s="129"/>
      <c r="R5" s="129"/>
    </row>
    <row r="6" spans="1:18" ht="6" customHeight="1" x14ac:dyDescent="0.25">
      <c r="B6" s="131"/>
      <c r="C6" s="128"/>
      <c r="D6" s="128"/>
      <c r="K6" s="129"/>
      <c r="L6" s="129"/>
      <c r="M6" s="129"/>
      <c r="N6" s="129"/>
      <c r="O6" s="129"/>
      <c r="P6" s="129"/>
      <c r="Q6" s="129"/>
      <c r="R6" s="129"/>
    </row>
    <row r="7" spans="1:18" ht="14.25" x14ac:dyDescent="0.2">
      <c r="A7" s="125" t="s">
        <v>194</v>
      </c>
      <c r="B7" s="126" t="s">
        <v>10</v>
      </c>
      <c r="C7" s="126"/>
      <c r="D7" s="126"/>
      <c r="E7" s="126"/>
      <c r="F7" s="126"/>
      <c r="G7" s="126"/>
      <c r="H7" s="126"/>
      <c r="I7" s="326">
        <v>100</v>
      </c>
      <c r="J7" s="124" t="s">
        <v>12</v>
      </c>
      <c r="K7" s="136"/>
      <c r="L7" s="129"/>
      <c r="M7" s="136"/>
      <c r="N7" s="129"/>
      <c r="O7" s="136"/>
      <c r="P7" s="129"/>
      <c r="Q7" s="136"/>
      <c r="R7" s="129"/>
    </row>
    <row r="8" spans="1:18" ht="14.25" x14ac:dyDescent="0.2">
      <c r="A8" s="125" t="s">
        <v>195</v>
      </c>
      <c r="B8" s="126" t="s">
        <v>11</v>
      </c>
      <c r="C8" s="126"/>
      <c r="D8" s="126"/>
      <c r="E8" s="126"/>
      <c r="F8" s="126"/>
      <c r="G8" s="126"/>
      <c r="H8" s="126"/>
      <c r="I8" s="327">
        <v>7</v>
      </c>
      <c r="J8" s="124" t="s">
        <v>13</v>
      </c>
      <c r="K8" s="136"/>
      <c r="L8" s="129"/>
      <c r="M8" s="136"/>
      <c r="N8" s="129"/>
      <c r="O8" s="136"/>
      <c r="P8" s="129"/>
      <c r="Q8" s="136"/>
      <c r="R8" s="129"/>
    </row>
    <row r="9" spans="1:18" s="128" customFormat="1" ht="6" customHeight="1" x14ac:dyDescent="0.2">
      <c r="A9" s="127"/>
      <c r="I9" s="143"/>
      <c r="K9" s="136"/>
      <c r="L9" s="129"/>
      <c r="M9" s="136"/>
      <c r="N9" s="129"/>
      <c r="O9" s="136"/>
      <c r="P9" s="129"/>
      <c r="Q9" s="136"/>
      <c r="R9" s="129"/>
    </row>
    <row r="10" spans="1:18" s="128" customFormat="1" x14ac:dyDescent="0.25">
      <c r="A10" s="144"/>
      <c r="B10" s="138" t="s">
        <v>600</v>
      </c>
      <c r="C10" s="139"/>
      <c r="D10" s="139"/>
      <c r="E10" s="139"/>
      <c r="F10" s="139"/>
      <c r="G10" s="139"/>
      <c r="H10" s="139"/>
      <c r="I10" s="145"/>
      <c r="J10" s="139"/>
      <c r="K10" s="136"/>
      <c r="L10" s="129"/>
      <c r="M10" s="136"/>
      <c r="N10" s="129"/>
      <c r="O10" s="136"/>
      <c r="P10" s="129"/>
      <c r="Q10" s="136"/>
      <c r="R10" s="129"/>
    </row>
    <row r="11" spans="1:18" ht="6" customHeight="1" x14ac:dyDescent="0.2">
      <c r="A11" s="122"/>
      <c r="K11" s="136"/>
      <c r="L11" s="129"/>
      <c r="M11" s="136"/>
      <c r="N11" s="129"/>
      <c r="O11" s="136"/>
      <c r="P11" s="129"/>
      <c r="Q11" s="136"/>
      <c r="R11" s="129"/>
    </row>
    <row r="12" spans="1:18" x14ac:dyDescent="0.25">
      <c r="A12" s="125" t="s">
        <v>196</v>
      </c>
      <c r="B12" s="126" t="s">
        <v>17</v>
      </c>
      <c r="C12" s="126"/>
      <c r="D12" s="126"/>
      <c r="E12" s="126"/>
      <c r="F12" s="126"/>
      <c r="G12" s="126"/>
      <c r="H12" s="126"/>
      <c r="I12" s="328">
        <v>800</v>
      </c>
      <c r="J12" s="124" t="s">
        <v>16</v>
      </c>
      <c r="K12" s="339" t="s">
        <v>607</v>
      </c>
      <c r="L12" s="133"/>
      <c r="M12" s="133"/>
      <c r="N12" s="133"/>
      <c r="O12" s="136"/>
      <c r="P12" s="129"/>
      <c r="Q12" s="136"/>
      <c r="R12" s="129"/>
    </row>
    <row r="13" spans="1:18" ht="14.25" x14ac:dyDescent="0.2">
      <c r="A13" s="125" t="s">
        <v>197</v>
      </c>
      <c r="B13" s="126" t="s">
        <v>18</v>
      </c>
      <c r="C13" s="126"/>
      <c r="D13" s="126"/>
      <c r="E13" s="126"/>
      <c r="F13" s="126"/>
      <c r="G13" s="126"/>
      <c r="H13" s="126"/>
      <c r="I13" s="328">
        <v>1200</v>
      </c>
      <c r="J13" s="124" t="s">
        <v>16</v>
      </c>
      <c r="K13" s="136"/>
      <c r="L13" s="129"/>
      <c r="M13" s="136"/>
      <c r="N13" s="129"/>
      <c r="O13" s="136"/>
      <c r="P13" s="129"/>
      <c r="Q13" s="136"/>
      <c r="R13" s="129"/>
    </row>
    <row r="14" spans="1:18" ht="14.25" x14ac:dyDescent="0.2">
      <c r="A14" s="125" t="s">
        <v>198</v>
      </c>
      <c r="B14" s="126" t="s">
        <v>19</v>
      </c>
      <c r="C14" s="126"/>
      <c r="D14" s="126"/>
      <c r="E14" s="126"/>
      <c r="F14" s="126"/>
      <c r="G14" s="126"/>
      <c r="H14" s="126"/>
      <c r="I14" s="328">
        <v>2600</v>
      </c>
      <c r="J14" s="124" t="s">
        <v>16</v>
      </c>
      <c r="K14" s="136"/>
      <c r="L14" s="129"/>
      <c r="M14" s="136"/>
      <c r="N14" s="129"/>
      <c r="O14" s="136"/>
      <c r="P14" s="129"/>
      <c r="Q14" s="136"/>
      <c r="R14" s="129"/>
    </row>
    <row r="15" spans="1:18" ht="14.25" x14ac:dyDescent="0.2">
      <c r="A15" s="125" t="s">
        <v>199</v>
      </c>
      <c r="B15" s="126" t="s">
        <v>634</v>
      </c>
      <c r="C15" s="126"/>
      <c r="D15" s="126"/>
      <c r="E15" s="126"/>
      <c r="F15" s="126"/>
      <c r="G15" s="126"/>
      <c r="H15" s="126"/>
      <c r="I15" s="328">
        <v>500</v>
      </c>
      <c r="J15" s="124" t="s">
        <v>16</v>
      </c>
      <c r="K15" s="136"/>
      <c r="L15" s="129"/>
      <c r="M15" s="136"/>
      <c r="N15" s="129"/>
      <c r="O15" s="136"/>
      <c r="P15" s="129"/>
      <c r="Q15" s="136"/>
      <c r="R15" s="129"/>
    </row>
    <row r="16" spans="1:18" ht="14.25" x14ac:dyDescent="0.2">
      <c r="A16" s="125" t="s">
        <v>200</v>
      </c>
      <c r="B16" s="126" t="s">
        <v>21</v>
      </c>
      <c r="C16" s="126"/>
      <c r="D16" s="126"/>
      <c r="E16" s="126"/>
      <c r="F16" s="126"/>
      <c r="G16" s="126"/>
      <c r="H16" s="126"/>
      <c r="I16" s="328">
        <v>280</v>
      </c>
      <c r="J16" s="124" t="s">
        <v>16</v>
      </c>
      <c r="K16" s="136"/>
      <c r="L16" s="129"/>
      <c r="M16" s="136"/>
      <c r="N16" s="129"/>
      <c r="O16" s="136"/>
      <c r="P16" s="129"/>
      <c r="Q16" s="136"/>
      <c r="R16" s="129"/>
    </row>
    <row r="17" spans="1:18" ht="14.25" x14ac:dyDescent="0.2">
      <c r="A17" s="125" t="s">
        <v>201</v>
      </c>
      <c r="B17" s="126" t="s">
        <v>453</v>
      </c>
      <c r="C17" s="126"/>
      <c r="D17" s="126"/>
      <c r="E17" s="126"/>
      <c r="F17" s="126"/>
      <c r="G17" s="126"/>
      <c r="H17" s="126"/>
      <c r="I17" s="328">
        <v>1000</v>
      </c>
      <c r="J17" s="124" t="s">
        <v>16</v>
      </c>
      <c r="K17" s="136"/>
      <c r="L17" s="129"/>
      <c r="M17" s="136"/>
      <c r="N17" s="129"/>
      <c r="O17" s="136"/>
      <c r="P17" s="129"/>
      <c r="Q17" s="136"/>
      <c r="R17" s="129"/>
    </row>
    <row r="18" spans="1:18" ht="14.25" x14ac:dyDescent="0.2">
      <c r="A18" s="125" t="s">
        <v>202</v>
      </c>
      <c r="B18" s="126" t="s">
        <v>454</v>
      </c>
      <c r="C18" s="126"/>
      <c r="D18" s="126"/>
      <c r="E18" s="126"/>
      <c r="F18" s="126"/>
      <c r="G18" s="126"/>
      <c r="H18" s="126"/>
      <c r="I18" s="328">
        <v>750</v>
      </c>
      <c r="J18" s="124" t="s">
        <v>16</v>
      </c>
      <c r="K18" s="136"/>
      <c r="L18" s="129"/>
      <c r="M18" s="136"/>
      <c r="N18" s="129"/>
      <c r="O18" s="136"/>
      <c r="P18" s="129"/>
      <c r="Q18" s="136"/>
      <c r="R18" s="129"/>
    </row>
    <row r="19" spans="1:18" ht="6" customHeight="1" x14ac:dyDescent="0.2">
      <c r="A19" s="122"/>
      <c r="G19" s="134"/>
      <c r="K19" s="129"/>
      <c r="L19" s="129"/>
      <c r="M19" s="129"/>
      <c r="N19" s="129"/>
      <c r="O19" s="129"/>
      <c r="P19" s="129"/>
      <c r="Q19" s="129"/>
      <c r="R19" s="129"/>
    </row>
    <row r="20" spans="1:18" x14ac:dyDescent="0.25">
      <c r="A20" s="144"/>
      <c r="B20" s="138" t="s">
        <v>25</v>
      </c>
      <c r="C20" s="91"/>
      <c r="D20" s="91"/>
      <c r="E20" s="91"/>
      <c r="F20" s="139"/>
      <c r="G20" s="142"/>
      <c r="H20" s="139"/>
      <c r="I20" s="139"/>
      <c r="J20" s="139"/>
      <c r="K20" s="129"/>
      <c r="L20" s="129"/>
      <c r="M20" s="129"/>
      <c r="N20" s="129"/>
      <c r="O20" s="129"/>
      <c r="P20" s="129"/>
      <c r="Q20" s="129"/>
      <c r="R20" s="129"/>
    </row>
    <row r="21" spans="1:18" s="128" customFormat="1" ht="6" customHeight="1" x14ac:dyDescent="0.2">
      <c r="A21" s="127"/>
      <c r="G21" s="146"/>
      <c r="K21" s="129"/>
      <c r="L21" s="129"/>
      <c r="M21" s="129"/>
      <c r="N21" s="129"/>
      <c r="O21" s="129"/>
      <c r="P21" s="129"/>
      <c r="Q21" s="129"/>
      <c r="R21" s="129"/>
    </row>
    <row r="22" spans="1:18" ht="14.25" x14ac:dyDescent="0.2">
      <c r="A22" s="127"/>
      <c r="B22" s="140" t="s">
        <v>26</v>
      </c>
      <c r="C22" s="133"/>
      <c r="D22" s="128"/>
      <c r="E22" s="128"/>
      <c r="F22" s="128"/>
      <c r="G22" s="128"/>
      <c r="H22" s="128"/>
      <c r="I22" s="128"/>
      <c r="K22" s="129"/>
      <c r="L22" s="129"/>
      <c r="M22" s="129"/>
      <c r="N22" s="129"/>
      <c r="O22" s="129"/>
      <c r="P22" s="129"/>
      <c r="Q22" s="129"/>
      <c r="R22" s="129"/>
    </row>
    <row r="23" spans="1:18" ht="14.25" x14ac:dyDescent="0.2">
      <c r="A23" s="125" t="s">
        <v>203</v>
      </c>
      <c r="B23" s="126" t="s">
        <v>584</v>
      </c>
      <c r="C23" s="126"/>
      <c r="D23" s="126"/>
      <c r="E23" s="126"/>
      <c r="F23" s="126"/>
      <c r="G23" s="126"/>
      <c r="H23" s="126"/>
      <c r="I23" s="329">
        <v>800</v>
      </c>
      <c r="J23" s="124" t="s">
        <v>16</v>
      </c>
      <c r="K23" s="136"/>
      <c r="L23" s="129"/>
      <c r="M23" s="136"/>
      <c r="N23" s="129"/>
      <c r="O23" s="136"/>
      <c r="P23" s="129"/>
      <c r="Q23" s="136"/>
      <c r="R23" s="129"/>
    </row>
    <row r="24" spans="1:18" ht="14.25" x14ac:dyDescent="0.2">
      <c r="A24" s="125" t="s">
        <v>204</v>
      </c>
      <c r="B24" s="126" t="s">
        <v>585</v>
      </c>
      <c r="C24" s="126"/>
      <c r="D24" s="126"/>
      <c r="E24" s="126"/>
      <c r="F24" s="126"/>
      <c r="G24" s="126"/>
      <c r="H24" s="126"/>
      <c r="I24" s="329">
        <v>300</v>
      </c>
      <c r="J24" s="124" t="s">
        <v>16</v>
      </c>
      <c r="K24" s="136"/>
      <c r="L24" s="129"/>
      <c r="M24" s="136"/>
      <c r="N24" s="129"/>
      <c r="O24" s="136"/>
      <c r="P24" s="129"/>
      <c r="Q24" s="136"/>
      <c r="R24" s="129"/>
    </row>
    <row r="25" spans="1:18" ht="14.25" x14ac:dyDescent="0.2">
      <c r="A25" s="125" t="s">
        <v>243</v>
      </c>
      <c r="B25" s="126" t="s">
        <v>586</v>
      </c>
      <c r="C25" s="126"/>
      <c r="D25" s="126"/>
      <c r="E25" s="126"/>
      <c r="F25" s="126"/>
      <c r="G25" s="126"/>
      <c r="H25" s="126"/>
      <c r="I25" s="329">
        <v>1200</v>
      </c>
      <c r="J25" s="124" t="s">
        <v>16</v>
      </c>
      <c r="K25" s="136"/>
      <c r="L25" s="129"/>
      <c r="M25" s="136"/>
      <c r="N25" s="129"/>
      <c r="O25" s="136"/>
      <c r="P25" s="129"/>
      <c r="Q25" s="136"/>
      <c r="R25" s="129"/>
    </row>
    <row r="26" spans="1:18" ht="14.25" x14ac:dyDescent="0.2">
      <c r="A26" s="125" t="s">
        <v>205</v>
      </c>
      <c r="B26" s="126" t="s">
        <v>587</v>
      </c>
      <c r="C26" s="126"/>
      <c r="D26" s="126"/>
      <c r="E26" s="126"/>
      <c r="F26" s="126"/>
      <c r="G26" s="126"/>
      <c r="H26" s="126"/>
      <c r="I26" s="329">
        <v>500</v>
      </c>
      <c r="J26" s="124" t="s">
        <v>16</v>
      </c>
      <c r="K26" s="136"/>
      <c r="L26" s="129"/>
      <c r="M26" s="136"/>
      <c r="N26" s="129"/>
      <c r="O26" s="136"/>
      <c r="P26" s="129"/>
      <c r="Q26" s="136"/>
      <c r="R26" s="129"/>
    </row>
    <row r="27" spans="1:18" ht="14.25" x14ac:dyDescent="0.2">
      <c r="A27" s="125" t="s">
        <v>206</v>
      </c>
      <c r="B27" s="126" t="s">
        <v>588</v>
      </c>
      <c r="C27" s="126"/>
      <c r="D27" s="126"/>
      <c r="E27" s="126"/>
      <c r="F27" s="126"/>
      <c r="G27" s="126"/>
      <c r="H27" s="126"/>
      <c r="I27" s="329">
        <v>400</v>
      </c>
      <c r="J27" s="124" t="s">
        <v>16</v>
      </c>
      <c r="K27" s="136"/>
      <c r="L27" s="129"/>
      <c r="M27" s="136"/>
      <c r="N27" s="129"/>
      <c r="O27" s="136"/>
      <c r="P27" s="129"/>
      <c r="Q27" s="136"/>
      <c r="R27" s="129"/>
    </row>
    <row r="28" spans="1:18" ht="14.25" x14ac:dyDescent="0.2">
      <c r="A28" s="125" t="s">
        <v>207</v>
      </c>
      <c r="B28" s="126" t="s">
        <v>175</v>
      </c>
      <c r="C28" s="126"/>
      <c r="D28" s="126"/>
      <c r="E28" s="126"/>
      <c r="F28" s="126"/>
      <c r="G28" s="126"/>
      <c r="H28" s="126"/>
      <c r="I28" s="329">
        <v>250</v>
      </c>
      <c r="J28" s="124" t="s">
        <v>16</v>
      </c>
      <c r="K28" s="136"/>
      <c r="L28" s="129"/>
      <c r="M28" s="136"/>
      <c r="N28" s="129"/>
      <c r="O28" s="136"/>
      <c r="P28" s="129"/>
      <c r="Q28" s="136"/>
      <c r="R28" s="129"/>
    </row>
    <row r="29" spans="1:18" ht="14.25" x14ac:dyDescent="0.2">
      <c r="A29" s="125" t="s">
        <v>208</v>
      </c>
      <c r="B29" s="126" t="s">
        <v>589</v>
      </c>
      <c r="C29" s="126"/>
      <c r="D29" s="126"/>
      <c r="E29" s="126"/>
      <c r="F29" s="126"/>
      <c r="G29" s="126"/>
      <c r="H29" s="126"/>
      <c r="I29" s="329">
        <v>200</v>
      </c>
      <c r="J29" s="124" t="s">
        <v>16</v>
      </c>
      <c r="K29" s="136"/>
      <c r="L29" s="129"/>
      <c r="M29" s="136"/>
      <c r="N29" s="129"/>
      <c r="O29" s="136"/>
      <c r="P29" s="129"/>
      <c r="Q29" s="136"/>
      <c r="R29" s="129"/>
    </row>
    <row r="30" spans="1:18" ht="14.25" x14ac:dyDescent="0.2">
      <c r="A30" s="125" t="s">
        <v>209</v>
      </c>
      <c r="B30" s="126" t="s">
        <v>590</v>
      </c>
      <c r="C30" s="126"/>
      <c r="D30" s="126"/>
      <c r="E30" s="126"/>
      <c r="F30" s="126"/>
      <c r="G30" s="126"/>
      <c r="H30" s="126"/>
      <c r="I30" s="329">
        <v>1500</v>
      </c>
      <c r="J30" s="124" t="s">
        <v>16</v>
      </c>
      <c r="K30" s="136"/>
      <c r="L30" s="129"/>
      <c r="M30" s="136"/>
      <c r="N30" s="129"/>
      <c r="O30" s="136"/>
      <c r="P30" s="129"/>
      <c r="Q30" s="136"/>
      <c r="R30" s="129"/>
    </row>
    <row r="31" spans="1:18" ht="14.25" x14ac:dyDescent="0.2">
      <c r="A31" s="125" t="s">
        <v>242</v>
      </c>
      <c r="B31" s="126" t="s">
        <v>591</v>
      </c>
      <c r="C31" s="126"/>
      <c r="D31" s="126"/>
      <c r="E31" s="126"/>
      <c r="F31" s="126"/>
      <c r="G31" s="126"/>
      <c r="H31" s="126"/>
      <c r="I31" s="328">
        <v>1000</v>
      </c>
      <c r="J31" s="124" t="s">
        <v>16</v>
      </c>
      <c r="K31" s="136"/>
      <c r="L31" s="129"/>
      <c r="M31" s="136"/>
      <c r="N31" s="129"/>
      <c r="O31" s="136"/>
      <c r="P31" s="129"/>
      <c r="Q31" s="136"/>
      <c r="R31" s="129"/>
    </row>
    <row r="32" spans="1:18" ht="6" customHeight="1" x14ac:dyDescent="0.2">
      <c r="A32" s="122"/>
      <c r="I32" s="134"/>
      <c r="K32" s="136"/>
      <c r="L32" s="129"/>
      <c r="M32" s="136"/>
      <c r="N32" s="129"/>
      <c r="O32" s="136"/>
      <c r="P32" s="129"/>
      <c r="Q32" s="136"/>
      <c r="R32" s="129"/>
    </row>
    <row r="33" spans="1:18" ht="14.25" x14ac:dyDescent="0.2">
      <c r="A33" s="127"/>
      <c r="B33" s="140" t="s">
        <v>27</v>
      </c>
      <c r="C33" s="133"/>
      <c r="D33" s="128"/>
      <c r="E33" s="128"/>
      <c r="F33" s="128"/>
      <c r="G33" s="128"/>
      <c r="H33" s="128"/>
      <c r="I33" s="146"/>
      <c r="K33" s="136"/>
      <c r="L33" s="129"/>
      <c r="M33" s="136"/>
      <c r="N33" s="129"/>
      <c r="O33" s="136"/>
      <c r="P33" s="129"/>
      <c r="Q33" s="136"/>
      <c r="R33" s="129"/>
    </row>
    <row r="34" spans="1:18" ht="14.25" x14ac:dyDescent="0.2">
      <c r="A34" s="125" t="s">
        <v>210</v>
      </c>
      <c r="B34" s="126" t="s">
        <v>592</v>
      </c>
      <c r="C34" s="126"/>
      <c r="D34" s="126"/>
      <c r="E34" s="126"/>
      <c r="F34" s="126"/>
      <c r="G34" s="126"/>
      <c r="H34" s="126"/>
      <c r="I34" s="329">
        <v>10000</v>
      </c>
      <c r="J34" s="124" t="s">
        <v>16</v>
      </c>
      <c r="K34" s="136"/>
      <c r="L34" s="129"/>
      <c r="M34" s="136"/>
      <c r="N34" s="129"/>
      <c r="O34" s="136"/>
      <c r="P34" s="129"/>
      <c r="Q34" s="136"/>
      <c r="R34" s="129"/>
    </row>
    <row r="35" spans="1:18" ht="14.25" x14ac:dyDescent="0.2">
      <c r="A35" s="125" t="s">
        <v>211</v>
      </c>
      <c r="B35" s="126" t="s">
        <v>593</v>
      </c>
      <c r="C35" s="126"/>
      <c r="D35" s="126"/>
      <c r="E35" s="126"/>
      <c r="F35" s="126"/>
      <c r="G35" s="126"/>
      <c r="H35" s="126"/>
      <c r="I35" s="329">
        <v>8000</v>
      </c>
      <c r="J35" s="124" t="s">
        <v>16</v>
      </c>
      <c r="K35" s="136"/>
      <c r="L35" s="129"/>
      <c r="M35" s="136"/>
      <c r="N35" s="129"/>
      <c r="O35" s="136"/>
      <c r="P35" s="129"/>
      <c r="Q35" s="136"/>
      <c r="R35" s="129"/>
    </row>
    <row r="36" spans="1:18" ht="14.25" x14ac:dyDescent="0.2">
      <c r="A36" s="125" t="s">
        <v>212</v>
      </c>
      <c r="B36" s="126" t="s">
        <v>594</v>
      </c>
      <c r="C36" s="126"/>
      <c r="D36" s="126"/>
      <c r="E36" s="126"/>
      <c r="F36" s="126"/>
      <c r="G36" s="126"/>
      <c r="H36" s="126"/>
      <c r="I36" s="329">
        <v>3500</v>
      </c>
      <c r="J36" s="124" t="s">
        <v>16</v>
      </c>
      <c r="K36" s="136"/>
      <c r="L36" s="129"/>
      <c r="M36" s="136"/>
      <c r="N36" s="129"/>
      <c r="O36" s="136"/>
      <c r="P36" s="129"/>
      <c r="Q36" s="136"/>
      <c r="R36" s="129"/>
    </row>
    <row r="37" spans="1:18" ht="14.25" x14ac:dyDescent="0.2">
      <c r="A37" s="125" t="s">
        <v>213</v>
      </c>
      <c r="B37" s="126" t="s">
        <v>28</v>
      </c>
      <c r="C37" s="126"/>
      <c r="D37" s="126"/>
      <c r="E37" s="126"/>
      <c r="F37" s="126"/>
      <c r="G37" s="126"/>
      <c r="H37" s="126"/>
      <c r="I37" s="330">
        <v>1000000</v>
      </c>
      <c r="J37" s="124" t="s">
        <v>176</v>
      </c>
      <c r="K37" s="135"/>
      <c r="L37" s="129"/>
      <c r="M37" s="135"/>
      <c r="N37" s="129"/>
      <c r="O37" s="135"/>
      <c r="P37" s="129"/>
      <c r="Q37" s="135"/>
      <c r="R37" s="129"/>
    </row>
    <row r="38" spans="1:18" ht="6" customHeight="1" x14ac:dyDescent="0.2">
      <c r="A38" s="122"/>
      <c r="I38" s="134"/>
      <c r="K38" s="129"/>
      <c r="L38" s="129"/>
      <c r="M38" s="129"/>
      <c r="N38" s="129"/>
      <c r="O38" s="129"/>
      <c r="P38" s="129"/>
      <c r="Q38" s="129"/>
      <c r="R38" s="129"/>
    </row>
    <row r="39" spans="1:18" ht="14.25" x14ac:dyDescent="0.2">
      <c r="A39" s="127"/>
      <c r="B39" s="140" t="s">
        <v>29</v>
      </c>
      <c r="C39" s="133"/>
      <c r="D39" s="128"/>
      <c r="E39" s="128"/>
      <c r="F39" s="128"/>
      <c r="G39" s="128"/>
      <c r="H39" s="128"/>
      <c r="I39" s="146"/>
      <c r="K39" s="129"/>
      <c r="L39" s="129"/>
      <c r="M39" s="129"/>
      <c r="N39" s="129"/>
      <c r="O39" s="129"/>
      <c r="P39" s="129"/>
      <c r="Q39" s="129"/>
      <c r="R39" s="129"/>
    </row>
    <row r="40" spans="1:18" ht="14.25" x14ac:dyDescent="0.2">
      <c r="A40" s="125" t="s">
        <v>214</v>
      </c>
      <c r="B40" s="126" t="s">
        <v>595</v>
      </c>
      <c r="C40" s="126"/>
      <c r="D40" s="126"/>
      <c r="E40" s="126"/>
      <c r="F40" s="126"/>
      <c r="G40" s="126"/>
      <c r="H40" s="126"/>
      <c r="I40" s="329">
        <v>2000</v>
      </c>
      <c r="J40" s="124" t="s">
        <v>16</v>
      </c>
      <c r="K40" s="136"/>
      <c r="L40" s="129"/>
      <c r="M40" s="136"/>
      <c r="N40" s="129"/>
      <c r="O40" s="136"/>
      <c r="P40" s="129"/>
      <c r="Q40" s="136"/>
      <c r="R40" s="129"/>
    </row>
    <row r="41" spans="1:18" ht="14.25" x14ac:dyDescent="0.2">
      <c r="A41" s="125" t="s">
        <v>215</v>
      </c>
      <c r="B41" s="126" t="s">
        <v>596</v>
      </c>
      <c r="C41" s="126"/>
      <c r="D41" s="126"/>
      <c r="E41" s="126"/>
      <c r="F41" s="126"/>
      <c r="G41" s="126"/>
      <c r="H41" s="126"/>
      <c r="I41" s="329">
        <v>2000</v>
      </c>
      <c r="J41" s="124" t="s">
        <v>16</v>
      </c>
      <c r="K41" s="136"/>
      <c r="L41" s="129"/>
      <c r="M41" s="136"/>
      <c r="N41" s="129"/>
      <c r="O41" s="136"/>
      <c r="P41" s="129"/>
      <c r="Q41" s="136"/>
      <c r="R41" s="129"/>
    </row>
    <row r="42" spans="1:18" ht="14.25" x14ac:dyDescent="0.2">
      <c r="A42" s="125" t="s">
        <v>216</v>
      </c>
      <c r="B42" s="126" t="s">
        <v>597</v>
      </c>
      <c r="C42" s="126"/>
      <c r="D42" s="126"/>
      <c r="E42" s="126"/>
      <c r="F42" s="126"/>
      <c r="G42" s="126"/>
      <c r="H42" s="126"/>
      <c r="I42" s="329">
        <v>500</v>
      </c>
      <c r="J42" s="124" t="s">
        <v>16</v>
      </c>
      <c r="K42" s="136"/>
      <c r="L42" s="129"/>
      <c r="M42" s="136"/>
      <c r="N42" s="129"/>
      <c r="O42" s="136"/>
      <c r="P42" s="129"/>
      <c r="Q42" s="136"/>
      <c r="R42" s="129"/>
    </row>
    <row r="43" spans="1:18" ht="14.25" x14ac:dyDescent="0.2">
      <c r="A43" s="125" t="s">
        <v>212</v>
      </c>
      <c r="B43" s="126" t="s">
        <v>594</v>
      </c>
      <c r="C43" s="126"/>
      <c r="D43" s="126"/>
      <c r="E43" s="126"/>
      <c r="F43" s="126"/>
      <c r="G43" s="126"/>
      <c r="H43" s="126"/>
      <c r="I43" s="329">
        <v>1000</v>
      </c>
      <c r="J43" s="124" t="s">
        <v>16</v>
      </c>
      <c r="K43" s="136"/>
      <c r="L43" s="129"/>
      <c r="M43" s="136"/>
      <c r="N43" s="129"/>
      <c r="O43" s="136"/>
      <c r="P43" s="129"/>
      <c r="Q43" s="136"/>
      <c r="R43" s="129"/>
    </row>
    <row r="44" spans="1:18" ht="6" customHeight="1" x14ac:dyDescent="0.25"/>
    <row r="45" spans="1:18" x14ac:dyDescent="0.25">
      <c r="B45" s="140" t="s">
        <v>605</v>
      </c>
      <c r="C45" s="133"/>
      <c r="D45" s="133"/>
      <c r="E45" s="133"/>
      <c r="F45" s="133"/>
      <c r="G45" s="133"/>
    </row>
    <row r="46" spans="1:18" ht="14.25" x14ac:dyDescent="0.2">
      <c r="A46" s="125" t="s">
        <v>606</v>
      </c>
      <c r="B46" s="126" t="s">
        <v>608</v>
      </c>
      <c r="C46" s="126"/>
      <c r="D46" s="126"/>
      <c r="E46" s="126"/>
      <c r="F46" s="126"/>
      <c r="G46" s="126"/>
      <c r="H46" s="126"/>
      <c r="I46" s="341">
        <v>87000</v>
      </c>
      <c r="J46" s="124" t="s">
        <v>16</v>
      </c>
    </row>
    <row r="47" spans="1:18" ht="6" customHeight="1" x14ac:dyDescent="0.25">
      <c r="A47" s="338"/>
      <c r="B47" s="128"/>
      <c r="C47" s="128"/>
      <c r="D47" s="128"/>
      <c r="E47" s="128"/>
      <c r="F47" s="128"/>
      <c r="G47" s="128"/>
      <c r="H47" s="128"/>
    </row>
    <row r="48" spans="1:18" x14ac:dyDescent="0.25">
      <c r="B48" s="140" t="s">
        <v>615</v>
      </c>
      <c r="C48" s="339"/>
      <c r="D48" s="339"/>
      <c r="E48" s="339"/>
    </row>
    <row r="49" spans="1:10" ht="14.25" x14ac:dyDescent="0.2">
      <c r="A49" s="125" t="s">
        <v>622</v>
      </c>
      <c r="B49" s="126" t="s">
        <v>619</v>
      </c>
      <c r="C49" s="126"/>
      <c r="D49" s="126"/>
      <c r="E49" s="126"/>
      <c r="F49" s="126"/>
      <c r="G49" s="126"/>
      <c r="H49" s="126"/>
      <c r="I49" s="341">
        <v>110</v>
      </c>
      <c r="J49" s="124" t="s">
        <v>16</v>
      </c>
    </row>
    <row r="50" spans="1:10" ht="14.25" x14ac:dyDescent="0.2">
      <c r="A50" s="125" t="s">
        <v>623</v>
      </c>
      <c r="B50" s="126" t="s">
        <v>616</v>
      </c>
      <c r="C50" s="126" t="s">
        <v>617</v>
      </c>
      <c r="D50" s="126"/>
      <c r="E50" s="126"/>
      <c r="F50" s="126"/>
      <c r="G50" s="126"/>
      <c r="H50" s="126"/>
      <c r="I50" s="341">
        <v>80</v>
      </c>
      <c r="J50" s="124" t="s">
        <v>16</v>
      </c>
    </row>
    <row r="51" spans="1:10" ht="14.25" x14ac:dyDescent="0.2">
      <c r="A51" s="125" t="s">
        <v>624</v>
      </c>
      <c r="B51" s="126" t="s">
        <v>616</v>
      </c>
      <c r="C51" s="126" t="s">
        <v>618</v>
      </c>
      <c r="D51" s="126"/>
      <c r="E51" s="126"/>
      <c r="F51" s="126"/>
      <c r="G51" s="126"/>
      <c r="H51" s="126"/>
      <c r="I51" s="342">
        <v>20</v>
      </c>
      <c r="J51" s="124" t="s">
        <v>171</v>
      </c>
    </row>
    <row r="52" spans="1:10" ht="14.25" x14ac:dyDescent="0.2">
      <c r="A52" s="125" t="s">
        <v>625</v>
      </c>
      <c r="B52" s="126" t="s">
        <v>616</v>
      </c>
      <c r="C52" s="126" t="s">
        <v>620</v>
      </c>
      <c r="D52" s="126"/>
      <c r="E52" s="126"/>
      <c r="F52" s="126"/>
      <c r="G52" s="126"/>
      <c r="H52" s="126"/>
      <c r="I52" s="342">
        <v>40</v>
      </c>
      <c r="J52" s="124" t="s">
        <v>171</v>
      </c>
    </row>
    <row r="53" spans="1:10" ht="14.25" x14ac:dyDescent="0.2">
      <c r="A53" s="125" t="s">
        <v>626</v>
      </c>
      <c r="B53" s="126" t="s">
        <v>621</v>
      </c>
      <c r="C53" s="126"/>
      <c r="D53" s="126"/>
      <c r="E53" s="126"/>
      <c r="F53" s="126"/>
      <c r="G53" s="126"/>
      <c r="H53" s="126"/>
      <c r="I53" s="341">
        <v>180</v>
      </c>
      <c r="J53" s="124" t="s">
        <v>16</v>
      </c>
    </row>
    <row r="54" spans="1:10" ht="14.25" x14ac:dyDescent="0.2">
      <c r="A54" s="125" t="s">
        <v>628</v>
      </c>
      <c r="B54" s="126" t="s">
        <v>627</v>
      </c>
      <c r="C54" s="126"/>
      <c r="D54" s="126"/>
      <c r="E54" s="126"/>
      <c r="F54" s="126"/>
      <c r="G54" s="126"/>
      <c r="H54" s="126"/>
      <c r="I54" s="341">
        <v>120</v>
      </c>
      <c r="J54" s="124" t="s">
        <v>16</v>
      </c>
    </row>
  </sheetData>
  <pageMargins left="0.7" right="0.7" top="0.78740157499999996" bottom="0.78740157499999996" header="0.3" footer="0.3"/>
  <pageSetup paperSize="9" scale="71"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87264B-2508-4A26-927C-41A4EAF944D7}">
  <sheetPr>
    <tabColor theme="8" tint="0.79998168889431442"/>
  </sheetPr>
  <dimension ref="A1:R56"/>
  <sheetViews>
    <sheetView zoomScale="85" zoomScaleNormal="85" workbookViewId="0">
      <selection activeCell="F30" sqref="F30"/>
    </sheetView>
  </sheetViews>
  <sheetFormatPr baseColWidth="10" defaultColWidth="11.42578125" defaultRowHeight="15" x14ac:dyDescent="0.25"/>
  <cols>
    <col min="1" max="1" width="7.7109375" style="130" customWidth="1"/>
    <col min="2" max="7" width="11.42578125" style="124"/>
    <col min="8" max="8" width="10.28515625" style="124" customWidth="1"/>
    <col min="9" max="9" width="23.28515625" style="124" customWidth="1"/>
    <col min="10" max="10" width="9.85546875" style="124" customWidth="1"/>
    <col min="11" max="11" width="11.42578125" style="124"/>
    <col min="12" max="12" width="19.7109375" style="124" customWidth="1"/>
    <col min="13" max="16384" width="11.42578125" style="124"/>
  </cols>
  <sheetData>
    <row r="1" spans="1:18" ht="18" x14ac:dyDescent="0.25">
      <c r="A1" s="147" t="s">
        <v>124</v>
      </c>
      <c r="B1" s="148"/>
      <c r="C1" s="148"/>
      <c r="D1" s="148"/>
      <c r="E1" s="148"/>
      <c r="F1" s="148"/>
      <c r="G1" s="148"/>
      <c r="H1" s="148"/>
      <c r="I1" s="148"/>
      <c r="J1" s="148"/>
      <c r="K1" s="148"/>
      <c r="L1" s="148"/>
      <c r="M1" s="148"/>
      <c r="N1" s="148"/>
      <c r="O1" s="128"/>
    </row>
    <row r="2" spans="1:18" ht="6.75" customHeight="1" x14ac:dyDescent="0.25">
      <c r="A2" s="132"/>
    </row>
    <row r="3" spans="1:18" ht="18" x14ac:dyDescent="0.25">
      <c r="B3" s="153" t="s">
        <v>611</v>
      </c>
      <c r="C3" s="154"/>
      <c r="D3" s="340"/>
      <c r="E3" s="128"/>
    </row>
    <row r="4" spans="1:18" ht="6" customHeight="1" x14ac:dyDescent="0.25">
      <c r="B4" s="131"/>
      <c r="C4" s="128"/>
      <c r="D4" s="128"/>
      <c r="E4" s="128"/>
    </row>
    <row r="5" spans="1:18" x14ac:dyDescent="0.25">
      <c r="A5" s="137" t="s">
        <v>139</v>
      </c>
      <c r="B5" s="138" t="s">
        <v>14</v>
      </c>
      <c r="C5" s="139"/>
      <c r="D5" s="139"/>
      <c r="E5" s="139"/>
      <c r="F5" s="139"/>
      <c r="G5" s="139"/>
      <c r="H5" s="139"/>
      <c r="I5" s="139"/>
      <c r="J5" s="139"/>
      <c r="K5" s="139"/>
    </row>
    <row r="6" spans="1:18" ht="7.5" customHeight="1" x14ac:dyDescent="0.2">
      <c r="A6" s="122"/>
      <c r="K6" s="136"/>
      <c r="L6" s="129"/>
      <c r="M6" s="136"/>
      <c r="N6" s="129"/>
      <c r="O6" s="136"/>
      <c r="P6" s="129"/>
      <c r="Q6" s="136"/>
      <c r="R6" s="129"/>
    </row>
    <row r="7" spans="1:18" x14ac:dyDescent="0.25">
      <c r="A7" s="284" t="s">
        <v>217</v>
      </c>
      <c r="B7" s="240" t="s">
        <v>142</v>
      </c>
      <c r="C7" s="126"/>
      <c r="D7" s="126"/>
      <c r="E7" s="126"/>
      <c r="F7" s="126"/>
      <c r="G7" s="126"/>
      <c r="H7" s="126"/>
      <c r="I7" s="227">
        <f>Energieeffiziensberechnung!E34</f>
        <v>1752</v>
      </c>
      <c r="J7" s="124" t="s">
        <v>137</v>
      </c>
      <c r="K7" s="136"/>
      <c r="L7" s="129"/>
      <c r="M7" s="136"/>
      <c r="N7" s="129"/>
      <c r="O7" s="136"/>
      <c r="P7" s="129"/>
      <c r="Q7" s="136"/>
      <c r="R7" s="129"/>
    </row>
    <row r="8" spans="1:18" x14ac:dyDescent="0.25">
      <c r="A8" s="125" t="s">
        <v>218</v>
      </c>
      <c r="B8" s="126" t="s">
        <v>488</v>
      </c>
      <c r="C8" s="126"/>
      <c r="D8" s="126"/>
      <c r="E8" s="126"/>
      <c r="F8" s="126"/>
      <c r="G8" s="126"/>
      <c r="H8" s="126"/>
      <c r="I8" s="227">
        <f>Energieeffiziensberechnung!E33</f>
        <v>613.19999999999993</v>
      </c>
      <c r="J8" s="124" t="s">
        <v>16</v>
      </c>
      <c r="K8" s="136"/>
      <c r="L8" s="129"/>
      <c r="M8" s="136"/>
      <c r="N8" s="129"/>
      <c r="O8" s="136"/>
      <c r="P8" s="129"/>
      <c r="Q8" s="136"/>
      <c r="R8" s="129"/>
    </row>
    <row r="9" spans="1:18" x14ac:dyDescent="0.25">
      <c r="A9" s="125" t="s">
        <v>219</v>
      </c>
      <c r="B9" s="126" t="s">
        <v>489</v>
      </c>
      <c r="C9" s="126"/>
      <c r="D9" s="126"/>
      <c r="E9" s="126"/>
      <c r="F9" s="126"/>
      <c r="G9" s="126"/>
      <c r="H9" s="126"/>
      <c r="I9" s="227">
        <f>Energieeffiziensberechnung!M20</f>
        <v>13845.175192301005</v>
      </c>
      <c r="J9" s="124" t="s">
        <v>16</v>
      </c>
      <c r="K9" s="136"/>
      <c r="L9" s="129"/>
      <c r="M9" s="136"/>
      <c r="N9" s="129"/>
      <c r="O9" s="136"/>
      <c r="P9" s="129"/>
      <c r="Q9" s="136"/>
      <c r="R9" s="129"/>
    </row>
    <row r="10" spans="1:18" x14ac:dyDescent="0.25">
      <c r="A10" s="125" t="s">
        <v>220</v>
      </c>
      <c r="B10" s="126" t="s">
        <v>500</v>
      </c>
      <c r="C10" s="126"/>
      <c r="D10" s="126"/>
      <c r="E10" s="126"/>
      <c r="F10" s="126"/>
      <c r="G10" s="126"/>
      <c r="H10" s="126"/>
      <c r="I10" s="227">
        <f>Energieeffiziensberechnung!S4</f>
        <v>33.725999999999999</v>
      </c>
      <c r="J10" s="124" t="s">
        <v>16</v>
      </c>
      <c r="K10" s="136"/>
      <c r="L10" s="129"/>
      <c r="M10" s="136"/>
      <c r="N10" s="129"/>
      <c r="O10" s="136"/>
      <c r="P10" s="129"/>
      <c r="Q10" s="136"/>
      <c r="R10" s="129"/>
    </row>
    <row r="11" spans="1:18" x14ac:dyDescent="0.25">
      <c r="A11" s="125" t="s">
        <v>221</v>
      </c>
      <c r="B11" s="126" t="s">
        <v>177</v>
      </c>
      <c r="C11" s="126"/>
      <c r="D11" s="126"/>
      <c r="E11" s="126"/>
      <c r="F11" s="126"/>
      <c r="G11" s="126"/>
      <c r="H11" s="126"/>
      <c r="I11" s="227">
        <f>Energieeffiziensberechnung!S20</f>
        <v>516.26184000000001</v>
      </c>
      <c r="J11" s="124" t="s">
        <v>16</v>
      </c>
      <c r="K11" s="129"/>
      <c r="L11" s="129"/>
      <c r="M11" s="129"/>
      <c r="N11" s="129"/>
      <c r="O11" s="129"/>
      <c r="P11" s="129"/>
      <c r="Q11" s="129"/>
      <c r="R11" s="129"/>
    </row>
    <row r="12" spans="1:18" s="128" customFormat="1" ht="5.25" customHeight="1" x14ac:dyDescent="0.2">
      <c r="A12" s="127"/>
      <c r="I12" s="157"/>
      <c r="K12" s="129"/>
      <c r="L12" s="129"/>
      <c r="M12" s="129"/>
      <c r="N12" s="129"/>
      <c r="O12" s="129"/>
      <c r="P12" s="129"/>
      <c r="Q12" s="129"/>
      <c r="R12" s="129"/>
    </row>
    <row r="13" spans="1:18" s="128" customFormat="1" ht="15.75" customHeight="1" x14ac:dyDescent="0.25">
      <c r="A13" s="284" t="s">
        <v>222</v>
      </c>
      <c r="B13" s="240" t="s">
        <v>527</v>
      </c>
      <c r="C13" s="126"/>
      <c r="D13" s="126"/>
      <c r="E13" s="126"/>
      <c r="F13" s="126"/>
      <c r="G13" s="126"/>
      <c r="H13" s="126"/>
      <c r="I13" s="227">
        <f>SUM(Energieeffiziensberechnung!M4+Energieeffiziensberechnung!S4)</f>
        <v>646.92599999999993</v>
      </c>
      <c r="J13" s="124" t="s">
        <v>16</v>
      </c>
      <c r="K13" s="129"/>
      <c r="L13" s="129"/>
      <c r="M13" s="129"/>
      <c r="N13" s="129"/>
      <c r="O13" s="129"/>
      <c r="P13" s="129"/>
      <c r="Q13" s="129"/>
      <c r="R13" s="129"/>
    </row>
    <row r="14" spans="1:18" x14ac:dyDescent="0.25">
      <c r="A14" s="284" t="s">
        <v>223</v>
      </c>
      <c r="B14" s="240" t="s">
        <v>179</v>
      </c>
      <c r="C14" s="126"/>
      <c r="D14" s="126"/>
      <c r="E14" s="126"/>
      <c r="F14" s="126"/>
      <c r="G14" s="126"/>
      <c r="H14" s="126"/>
      <c r="I14" s="227">
        <f>Energieeffiziensberechnung!O22</f>
        <v>14361.437032301004</v>
      </c>
      <c r="J14" s="124" t="s">
        <v>16</v>
      </c>
      <c r="K14" s="129"/>
      <c r="L14" s="129"/>
      <c r="M14" s="129"/>
      <c r="N14" s="129"/>
      <c r="O14" s="129"/>
      <c r="P14" s="129"/>
      <c r="Q14" s="129"/>
      <c r="R14" s="129"/>
    </row>
    <row r="15" spans="1:18" ht="6" customHeight="1" x14ac:dyDescent="0.25">
      <c r="I15" s="228"/>
      <c r="K15" s="129"/>
      <c r="L15" s="129"/>
      <c r="M15" s="129"/>
      <c r="N15" s="129"/>
      <c r="O15" s="129"/>
      <c r="P15" s="129"/>
      <c r="Q15" s="129"/>
      <c r="R15" s="129"/>
    </row>
    <row r="16" spans="1:18" x14ac:dyDescent="0.25">
      <c r="A16" s="137" t="s">
        <v>140</v>
      </c>
      <c r="B16" s="138" t="s">
        <v>501</v>
      </c>
      <c r="C16" s="139"/>
      <c r="D16" s="139"/>
      <c r="E16" s="139"/>
      <c r="F16" s="139"/>
      <c r="G16" s="139"/>
      <c r="H16" s="139"/>
      <c r="I16" s="229"/>
      <c r="J16" s="139"/>
      <c r="K16" s="283"/>
      <c r="L16" s="129"/>
      <c r="M16" s="129"/>
      <c r="N16" s="129"/>
      <c r="O16" s="129"/>
      <c r="P16" s="129"/>
      <c r="Q16" s="129"/>
      <c r="R16" s="129"/>
    </row>
    <row r="17" spans="1:18" ht="6" customHeight="1" x14ac:dyDescent="0.25">
      <c r="I17" s="228"/>
      <c r="K17" s="129"/>
      <c r="L17" s="129"/>
      <c r="M17" s="129"/>
      <c r="N17" s="129"/>
      <c r="O17" s="129"/>
      <c r="P17" s="129"/>
      <c r="Q17" s="129"/>
      <c r="R17" s="129"/>
    </row>
    <row r="18" spans="1:18" x14ac:dyDescent="0.25">
      <c r="A18" s="284" t="s">
        <v>530</v>
      </c>
      <c r="B18" s="240" t="s">
        <v>23</v>
      </c>
      <c r="C18" s="240"/>
      <c r="D18" s="240"/>
      <c r="E18" s="240"/>
      <c r="F18" s="240"/>
      <c r="G18" s="126"/>
      <c r="H18" s="126"/>
      <c r="I18" s="238">
        <f>Wartung!L36+Wartung!L35</f>
        <v>55806.249228503475</v>
      </c>
      <c r="J18" s="124" t="s">
        <v>16</v>
      </c>
      <c r="K18" s="136"/>
      <c r="L18" s="129"/>
      <c r="M18" s="136"/>
      <c r="N18" s="129"/>
      <c r="O18" s="136"/>
      <c r="P18" s="129"/>
      <c r="Q18" s="136"/>
      <c r="R18" s="129"/>
    </row>
    <row r="19" spans="1:18" x14ac:dyDescent="0.25">
      <c r="A19" s="125" t="s">
        <v>531</v>
      </c>
      <c r="B19" s="126" t="s">
        <v>24</v>
      </c>
      <c r="C19" s="126"/>
      <c r="D19" s="126"/>
      <c r="E19" s="126"/>
      <c r="F19" s="126"/>
      <c r="G19" s="126"/>
      <c r="H19" s="126"/>
      <c r="I19" s="238">
        <f>Wartung!L35+Wartung!L36+Wartung!S35+Wartung!S36</f>
        <v>69554.486260804493</v>
      </c>
      <c r="J19" s="124" t="s">
        <v>16</v>
      </c>
      <c r="K19" s="136"/>
      <c r="L19" s="129"/>
      <c r="M19" s="136"/>
      <c r="N19" s="129"/>
      <c r="O19" s="136"/>
      <c r="P19" s="129"/>
      <c r="Q19" s="136"/>
      <c r="R19" s="129"/>
    </row>
    <row r="20" spans="1:18" ht="6.75" customHeight="1" x14ac:dyDescent="0.25">
      <c r="I20" s="228"/>
      <c r="K20" s="129"/>
      <c r="L20" s="129"/>
      <c r="M20" s="129"/>
      <c r="N20" s="129"/>
      <c r="O20" s="129"/>
      <c r="P20" s="129"/>
      <c r="Q20" s="129"/>
      <c r="R20" s="129"/>
    </row>
    <row r="21" spans="1:18" x14ac:dyDescent="0.25">
      <c r="A21" s="137" t="s">
        <v>141</v>
      </c>
      <c r="B21" s="138" t="s">
        <v>635</v>
      </c>
      <c r="C21" s="139"/>
      <c r="D21" s="139"/>
      <c r="E21" s="139"/>
      <c r="F21" s="139"/>
      <c r="G21" s="139"/>
      <c r="H21" s="139"/>
      <c r="I21" s="229"/>
      <c r="J21" s="139"/>
      <c r="K21" s="283"/>
      <c r="L21" s="129"/>
      <c r="M21" s="129"/>
      <c r="N21" s="129"/>
      <c r="O21" s="129"/>
      <c r="P21" s="129"/>
      <c r="Q21" s="129"/>
      <c r="R21" s="129"/>
    </row>
    <row r="22" spans="1:18" ht="6" customHeight="1" x14ac:dyDescent="0.25">
      <c r="I22" s="228"/>
      <c r="K22" s="129"/>
      <c r="L22" s="129"/>
      <c r="M22" s="129"/>
      <c r="N22" s="129"/>
      <c r="O22" s="129"/>
      <c r="P22" s="129"/>
      <c r="Q22" s="129"/>
      <c r="R22" s="129"/>
    </row>
    <row r="23" spans="1:18" x14ac:dyDescent="0.25">
      <c r="A23" s="284" t="s">
        <v>532</v>
      </c>
      <c r="B23" s="240" t="s">
        <v>546</v>
      </c>
      <c r="C23" s="240"/>
      <c r="D23" s="240"/>
      <c r="E23" s="240"/>
      <c r="F23" s="240"/>
      <c r="G23" s="240"/>
      <c r="H23" s="240"/>
      <c r="I23" s="280"/>
      <c r="J23" s="237"/>
      <c r="K23" s="281"/>
      <c r="L23" s="129"/>
      <c r="M23" s="141"/>
      <c r="N23" s="129"/>
      <c r="O23" s="141"/>
      <c r="P23" s="129"/>
      <c r="Q23" s="141"/>
      <c r="R23" s="129"/>
    </row>
    <row r="24" spans="1:18" x14ac:dyDescent="0.25">
      <c r="A24" s="127"/>
      <c r="B24" s="128"/>
      <c r="C24" s="128"/>
      <c r="D24" s="128"/>
      <c r="E24" s="128"/>
      <c r="F24" s="128"/>
      <c r="G24" s="128"/>
      <c r="H24" s="128"/>
      <c r="I24" s="238">
        <f>Wartung!L37+Wartung!P37</f>
        <v>87025.566495143721</v>
      </c>
      <c r="J24" s="124" t="s">
        <v>16</v>
      </c>
      <c r="K24" s="141"/>
      <c r="L24" s="129"/>
      <c r="M24" s="141"/>
      <c r="N24" s="129"/>
      <c r="O24" s="141"/>
      <c r="P24" s="129"/>
      <c r="Q24" s="141"/>
      <c r="R24" s="129"/>
    </row>
    <row r="25" spans="1:18" x14ac:dyDescent="0.25">
      <c r="A25" s="284" t="s">
        <v>533</v>
      </c>
      <c r="B25" s="240" t="s">
        <v>547</v>
      </c>
      <c r="C25" s="126"/>
      <c r="D25" s="126"/>
      <c r="E25" s="126"/>
      <c r="F25" s="126"/>
      <c r="G25" s="126"/>
      <c r="H25" s="126"/>
      <c r="I25" s="241"/>
      <c r="J25" s="126"/>
      <c r="K25" s="281"/>
      <c r="L25" s="129"/>
      <c r="M25" s="141"/>
      <c r="N25" s="129"/>
      <c r="O25" s="141"/>
      <c r="P25" s="129"/>
      <c r="Q25" s="141"/>
      <c r="R25" s="129"/>
    </row>
    <row r="26" spans="1:18" x14ac:dyDescent="0.25">
      <c r="A26" s="127"/>
      <c r="B26" s="128"/>
      <c r="C26" s="128"/>
      <c r="D26" s="128"/>
      <c r="E26" s="128"/>
      <c r="F26" s="128"/>
      <c r="G26" s="128"/>
      <c r="H26" s="128"/>
      <c r="I26" s="238">
        <f>Wartung!L38+Wartung!P38</f>
        <v>69703.973186961928</v>
      </c>
      <c r="J26" s="124" t="s">
        <v>16</v>
      </c>
      <c r="K26" s="141"/>
      <c r="L26" s="129"/>
      <c r="M26" s="141"/>
      <c r="N26" s="129"/>
      <c r="O26" s="141"/>
      <c r="P26" s="129"/>
      <c r="Q26" s="141"/>
      <c r="R26" s="129"/>
    </row>
    <row r="27" spans="1:18" ht="14.25" x14ac:dyDescent="0.2">
      <c r="A27" s="125" t="s">
        <v>534</v>
      </c>
      <c r="B27" s="126" t="s">
        <v>549</v>
      </c>
      <c r="C27" s="126"/>
      <c r="D27" s="126"/>
      <c r="E27" s="126"/>
      <c r="F27" s="126"/>
      <c r="G27" s="126"/>
      <c r="H27" s="126"/>
      <c r="I27" s="230"/>
      <c r="J27" s="126"/>
      <c r="K27" s="281"/>
      <c r="L27" s="129"/>
      <c r="M27" s="141"/>
      <c r="N27" s="129"/>
      <c r="O27" s="141"/>
      <c r="P27" s="129"/>
      <c r="Q27" s="141"/>
      <c r="R27" s="129"/>
    </row>
    <row r="28" spans="1:18" x14ac:dyDescent="0.25">
      <c r="I28" s="238">
        <f>Wartung!V37</f>
        <v>97979.724877444736</v>
      </c>
      <c r="J28" s="124" t="s">
        <v>16</v>
      </c>
      <c r="K28" s="129"/>
      <c r="L28" s="129"/>
      <c r="M28" s="129"/>
      <c r="N28" s="129"/>
      <c r="O28" s="129"/>
      <c r="P28" s="129"/>
      <c r="Q28" s="129"/>
      <c r="R28" s="129"/>
    </row>
    <row r="29" spans="1:18" ht="14.25" x14ac:dyDescent="0.2">
      <c r="A29" s="125" t="s">
        <v>535</v>
      </c>
      <c r="B29" s="126" t="s">
        <v>550</v>
      </c>
      <c r="C29" s="126"/>
      <c r="D29" s="126"/>
      <c r="E29" s="126"/>
      <c r="F29" s="126"/>
      <c r="G29" s="126"/>
      <c r="H29" s="126"/>
      <c r="I29" s="230"/>
      <c r="J29" s="126"/>
      <c r="K29" s="281"/>
      <c r="L29" s="129"/>
      <c r="M29" s="141"/>
      <c r="N29" s="129"/>
      <c r="O29" s="141"/>
      <c r="P29" s="129"/>
      <c r="Q29" s="141"/>
      <c r="R29" s="129"/>
    </row>
    <row r="30" spans="1:18" x14ac:dyDescent="0.25">
      <c r="I30" s="238">
        <f>Wartung!V38</f>
        <v>80658.131569262943</v>
      </c>
      <c r="J30" s="124" t="s">
        <v>16</v>
      </c>
      <c r="K30" s="129"/>
      <c r="L30" s="129"/>
      <c r="M30" s="129"/>
      <c r="N30" s="129"/>
      <c r="O30" s="129"/>
      <c r="P30" s="129"/>
      <c r="Q30" s="129"/>
      <c r="R30" s="129"/>
    </row>
    <row r="31" spans="1:18" ht="4.5" customHeight="1" x14ac:dyDescent="0.25"/>
    <row r="32" spans="1:18" x14ac:dyDescent="0.25">
      <c r="A32" s="137" t="s">
        <v>502</v>
      </c>
      <c r="B32" s="138" t="s">
        <v>503</v>
      </c>
      <c r="C32" s="139"/>
      <c r="D32" s="139"/>
      <c r="E32" s="139"/>
      <c r="F32" s="139"/>
      <c r="G32" s="139"/>
      <c r="H32" s="139"/>
      <c r="I32" s="229"/>
      <c r="J32" s="139"/>
      <c r="K32" s="283"/>
      <c r="L32" s="129"/>
      <c r="M32" s="129"/>
      <c r="N32" s="129"/>
      <c r="O32" s="129"/>
      <c r="P32" s="129"/>
      <c r="Q32" s="129"/>
      <c r="R32" s="129"/>
    </row>
    <row r="33" spans="1:18" ht="6" customHeight="1" x14ac:dyDescent="0.25"/>
    <row r="34" spans="1:18" ht="14.25" x14ac:dyDescent="0.2">
      <c r="A34" s="125" t="s">
        <v>536</v>
      </c>
      <c r="B34" s="126" t="s">
        <v>504</v>
      </c>
      <c r="C34" s="126"/>
      <c r="D34" s="126"/>
      <c r="E34" s="126"/>
      <c r="F34" s="126"/>
      <c r="G34" s="126"/>
      <c r="H34" s="126"/>
      <c r="I34" s="230"/>
      <c r="J34" s="126"/>
      <c r="K34" s="281"/>
      <c r="L34" s="129"/>
      <c r="M34" s="141"/>
      <c r="N34" s="129"/>
      <c r="O34" s="141"/>
      <c r="P34" s="129"/>
      <c r="Q34" s="141"/>
      <c r="R34" s="129"/>
    </row>
    <row r="35" spans="1:18" ht="14.25" customHeight="1" x14ac:dyDescent="0.25">
      <c r="I35" s="239">
        <f>Wartung!L35</f>
        <v>10199.823994999999</v>
      </c>
      <c r="J35" s="124" t="s">
        <v>16</v>
      </c>
    </row>
    <row r="36" spans="1:18" ht="14.25" x14ac:dyDescent="0.2">
      <c r="A36" s="125" t="s">
        <v>537</v>
      </c>
      <c r="B36" s="126" t="s">
        <v>505</v>
      </c>
      <c r="C36" s="126"/>
      <c r="D36" s="126"/>
      <c r="E36" s="126"/>
      <c r="F36" s="126"/>
      <c r="G36" s="126"/>
      <c r="H36" s="126"/>
      <c r="I36" s="230"/>
      <c r="J36" s="126"/>
      <c r="K36" s="281"/>
      <c r="L36" s="129"/>
      <c r="M36" s="141"/>
      <c r="N36" s="129"/>
      <c r="O36" s="141"/>
      <c r="P36" s="129"/>
      <c r="Q36" s="141"/>
      <c r="R36" s="129"/>
    </row>
    <row r="37" spans="1:18" x14ac:dyDescent="0.25">
      <c r="I37" s="239">
        <f>Wartung!V35</f>
        <v>12993.902644999998</v>
      </c>
      <c r="J37" s="124" t="s">
        <v>16</v>
      </c>
    </row>
    <row r="38" spans="1:18" ht="6.75" customHeight="1" x14ac:dyDescent="0.25"/>
    <row r="39" spans="1:18" x14ac:dyDescent="0.25">
      <c r="A39" s="137" t="s">
        <v>506</v>
      </c>
      <c r="B39" s="138" t="s">
        <v>509</v>
      </c>
      <c r="C39" s="139"/>
      <c r="D39" s="139"/>
      <c r="E39" s="139"/>
      <c r="F39" s="139"/>
      <c r="G39" s="139"/>
      <c r="H39" s="139"/>
      <c r="I39" s="229"/>
      <c r="J39" s="139"/>
      <c r="K39" s="283"/>
      <c r="L39" s="129"/>
      <c r="M39" s="129"/>
      <c r="N39" s="129"/>
      <c r="O39" s="129"/>
      <c r="P39" s="129"/>
      <c r="Q39" s="129"/>
      <c r="R39" s="129"/>
    </row>
    <row r="40" spans="1:18" ht="6" customHeight="1" x14ac:dyDescent="0.25">
      <c r="I40" s="228"/>
      <c r="K40" s="129"/>
      <c r="L40" s="129"/>
      <c r="M40" s="129"/>
      <c r="N40" s="129"/>
      <c r="O40" s="129"/>
      <c r="P40" s="129"/>
      <c r="Q40" s="129"/>
      <c r="R40" s="129"/>
    </row>
    <row r="41" spans="1:18" x14ac:dyDescent="0.25">
      <c r="A41" s="125" t="s">
        <v>538</v>
      </c>
      <c r="B41" s="126" t="s">
        <v>507</v>
      </c>
      <c r="C41" s="126"/>
      <c r="D41" s="126"/>
      <c r="E41" s="126"/>
      <c r="F41" s="126"/>
      <c r="G41" s="126"/>
      <c r="H41" s="126"/>
      <c r="I41" s="238">
        <f>Wartung!Y25+Wartung!Y26</f>
        <v>15618.39835738486</v>
      </c>
      <c r="J41" s="124" t="s">
        <v>16</v>
      </c>
      <c r="K41" s="136"/>
      <c r="L41" s="129"/>
      <c r="M41" s="136"/>
      <c r="N41" s="129"/>
      <c r="O41" s="136"/>
      <c r="P41" s="129"/>
      <c r="Q41" s="136"/>
      <c r="R41" s="129"/>
    </row>
    <row r="42" spans="1:18" x14ac:dyDescent="0.25">
      <c r="A42" s="125" t="s">
        <v>539</v>
      </c>
      <c r="B42" s="126" t="s">
        <v>508</v>
      </c>
      <c r="C42" s="126"/>
      <c r="D42" s="126"/>
      <c r="E42" s="126"/>
      <c r="F42" s="126"/>
      <c r="G42" s="126"/>
      <c r="H42" s="126"/>
      <c r="I42" s="239">
        <f>Wartung!Y27+Wartung!Y28</f>
        <v>16134.744809512758</v>
      </c>
      <c r="J42" s="124" t="s">
        <v>16</v>
      </c>
    </row>
    <row r="43" spans="1:18" x14ac:dyDescent="0.25">
      <c r="A43" s="125" t="s">
        <v>540</v>
      </c>
      <c r="B43" s="126" t="s">
        <v>510</v>
      </c>
      <c r="C43" s="126"/>
      <c r="D43" s="126"/>
      <c r="E43" s="126"/>
      <c r="F43" s="126"/>
      <c r="G43" s="126"/>
      <c r="H43" s="126"/>
      <c r="I43" s="239">
        <f>Komponenten!I32</f>
        <v>47219.365048785301</v>
      </c>
      <c r="J43" s="124" t="s">
        <v>16</v>
      </c>
    </row>
    <row r="44" spans="1:18" x14ac:dyDescent="0.25">
      <c r="A44" s="125" t="s">
        <v>541</v>
      </c>
      <c r="B44" s="126" t="s">
        <v>511</v>
      </c>
      <c r="C44" s="126"/>
      <c r="D44" s="126"/>
      <c r="E44" s="126"/>
      <c r="F44" s="126"/>
      <c r="G44" s="126"/>
      <c r="H44" s="126"/>
      <c r="I44" s="239">
        <f>Komponenten!I34</f>
        <v>29897.771740603508</v>
      </c>
      <c r="J44" s="124" t="s">
        <v>16</v>
      </c>
    </row>
    <row r="45" spans="1:18" ht="6" customHeight="1" x14ac:dyDescent="0.25"/>
    <row r="46" spans="1:18" x14ac:dyDescent="0.25">
      <c r="A46" s="137" t="s">
        <v>512</v>
      </c>
      <c r="B46" s="138" t="s">
        <v>513</v>
      </c>
      <c r="C46" s="139"/>
      <c r="D46" s="139"/>
      <c r="E46" s="139"/>
      <c r="F46" s="139"/>
      <c r="G46" s="139"/>
      <c r="H46" s="139"/>
      <c r="I46" s="229"/>
      <c r="J46" s="139"/>
      <c r="K46" s="283"/>
      <c r="L46" s="129"/>
      <c r="M46" s="129"/>
      <c r="N46" s="129"/>
      <c r="O46" s="129"/>
      <c r="P46" s="129"/>
      <c r="Q46" s="129"/>
      <c r="R46" s="129"/>
    </row>
    <row r="47" spans="1:18" ht="6" customHeight="1" x14ac:dyDescent="0.25"/>
    <row r="48" spans="1:18" x14ac:dyDescent="0.25">
      <c r="A48" s="125" t="s">
        <v>542</v>
      </c>
      <c r="B48" s="126" t="s">
        <v>514</v>
      </c>
      <c r="C48" s="126"/>
      <c r="D48" s="126"/>
      <c r="E48" s="126"/>
      <c r="F48" s="126"/>
      <c r="G48" s="126"/>
      <c r="H48" s="126"/>
      <c r="I48" s="126"/>
      <c r="J48" s="126"/>
      <c r="K48" s="282"/>
      <c r="L48" s="238">
        <f>Wartung!M40</f>
        <v>69554.486260804479</v>
      </c>
      <c r="M48" s="276" t="s">
        <v>16</v>
      </c>
      <c r="N48" s="129"/>
      <c r="O48" s="136"/>
      <c r="P48" s="129"/>
      <c r="Q48" s="136"/>
      <c r="R48" s="129"/>
    </row>
    <row r="49" spans="1:13" ht="6.75" customHeight="1" x14ac:dyDescent="0.25">
      <c r="M49" s="275"/>
    </row>
    <row r="50" spans="1:13" x14ac:dyDescent="0.25">
      <c r="A50" s="125" t="s">
        <v>543</v>
      </c>
      <c r="B50" s="126" t="s">
        <v>612</v>
      </c>
      <c r="C50" s="126"/>
      <c r="D50" s="126"/>
      <c r="E50" s="126"/>
      <c r="F50" s="126"/>
      <c r="G50" s="126"/>
      <c r="H50" s="126"/>
      <c r="I50" s="285"/>
      <c r="J50" s="126"/>
      <c r="K50" s="126"/>
      <c r="L50" s="238">
        <f>Wartung!M41</f>
        <v>110973.62752244473</v>
      </c>
      <c r="M50" s="275" t="s">
        <v>16</v>
      </c>
    </row>
    <row r="51" spans="1:13" ht="6" customHeight="1" x14ac:dyDescent="0.2">
      <c r="A51" s="127"/>
      <c r="B51" s="128"/>
      <c r="C51" s="128"/>
      <c r="D51" s="128"/>
      <c r="E51" s="128"/>
      <c r="F51" s="128"/>
      <c r="G51" s="128"/>
      <c r="H51" s="128"/>
    </row>
    <row r="52" spans="1:13" x14ac:dyDescent="0.25">
      <c r="A52" s="125" t="s">
        <v>548</v>
      </c>
      <c r="B52" s="126" t="s">
        <v>613</v>
      </c>
      <c r="C52" s="126"/>
      <c r="D52" s="126"/>
      <c r="E52" s="126"/>
      <c r="F52" s="126"/>
      <c r="G52" s="126"/>
      <c r="H52" s="126"/>
      <c r="I52" s="285"/>
      <c r="J52" s="126"/>
      <c r="K52" s="126"/>
      <c r="L52" s="239">
        <f>Wartung!M42</f>
        <v>93652.034214262938</v>
      </c>
      <c r="M52" s="275" t="s">
        <v>16</v>
      </c>
    </row>
    <row r="53" spans="1:13" ht="6" customHeight="1" x14ac:dyDescent="0.25"/>
    <row r="54" spans="1:13" x14ac:dyDescent="0.25">
      <c r="A54" s="137" t="s">
        <v>609</v>
      </c>
      <c r="B54" s="138" t="s">
        <v>610</v>
      </c>
      <c r="C54" s="139"/>
      <c r="D54" s="139"/>
      <c r="E54" s="139"/>
      <c r="F54" s="139"/>
      <c r="G54" s="139"/>
      <c r="H54" s="139"/>
      <c r="I54" s="139"/>
      <c r="J54" s="139"/>
      <c r="K54" s="139"/>
    </row>
    <row r="55" spans="1:13" ht="6" customHeight="1" x14ac:dyDescent="0.25"/>
    <row r="56" spans="1:13" x14ac:dyDescent="0.25">
      <c r="A56" s="125" t="s">
        <v>614</v>
      </c>
      <c r="B56" s="126" t="s">
        <v>608</v>
      </c>
      <c r="C56" s="126"/>
      <c r="D56" s="126"/>
      <c r="E56" s="126"/>
      <c r="F56" s="126"/>
      <c r="G56" s="126"/>
      <c r="H56" s="126"/>
      <c r="I56" s="126"/>
      <c r="J56" s="126"/>
      <c r="K56" s="126"/>
      <c r="L56" s="239">
        <f>'B-Angaben Bieter'!I46</f>
        <v>87000</v>
      </c>
      <c r="M56" s="124" t="s">
        <v>16</v>
      </c>
    </row>
  </sheetData>
  <sheetProtection algorithmName="SHA-512" hashValue="saOn9n96B5/sUOjTPFl4p1Fg//n2gGCPthF6g+qXUMlVzXNQoSTurvJEc9Ko1YfKg5iEb5Bom3LdgxIN8dovkQ==" saltValue="Adx81L+dI6kGXV6rgaExBA==" spinCount="100000" sheet="1" objects="1" scenarios="1"/>
  <pageMargins left="0.7" right="0.7" top="0.78740157499999996" bottom="0.78740157499999996" header="0.3" footer="0.3"/>
  <pageSetup paperSize="9" scale="71"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CDF559-BB52-4D4C-8316-A09D84DF2A30}">
  <sheetPr>
    <tabColor theme="2" tint="-0.249977111117893"/>
  </sheetPr>
  <dimension ref="A1:AD31"/>
  <sheetViews>
    <sheetView workbookViewId="0">
      <selection activeCell="F30" sqref="F30"/>
    </sheetView>
  </sheetViews>
  <sheetFormatPr baseColWidth="10" defaultRowHeight="15" x14ac:dyDescent="0.25"/>
  <cols>
    <col min="12" max="21" width="11.42578125" style="84"/>
    <col min="22" max="22" width="5.28515625" customWidth="1"/>
    <col min="23" max="23" width="13.5703125" customWidth="1"/>
    <col min="24" max="24" width="15" customWidth="1"/>
    <col min="25" max="25" width="12.140625" customWidth="1"/>
    <col min="26" max="26" width="14.5703125" customWidth="1"/>
    <col min="29" max="29" width="18.140625" customWidth="1"/>
    <col min="30" max="30" width="22.5703125" customWidth="1"/>
  </cols>
  <sheetData>
    <row r="1" spans="1:30" ht="18.75" x14ac:dyDescent="0.3">
      <c r="A1" s="301" t="s">
        <v>124</v>
      </c>
      <c r="B1" s="317"/>
      <c r="C1" s="317"/>
      <c r="D1" s="317"/>
      <c r="E1" s="317"/>
      <c r="F1" s="317"/>
      <c r="G1" s="317"/>
      <c r="H1" s="317"/>
      <c r="I1" s="317"/>
      <c r="J1" s="317"/>
      <c r="K1" s="317"/>
      <c r="L1" s="1"/>
      <c r="M1" s="1"/>
      <c r="N1" s="1"/>
      <c r="O1" s="1"/>
      <c r="P1" s="1"/>
      <c r="Q1" s="1"/>
      <c r="R1" s="1"/>
      <c r="S1" s="1"/>
      <c r="T1" s="1"/>
      <c r="U1" s="1"/>
    </row>
    <row r="2" spans="1:30" ht="14.25" customHeight="1" x14ac:dyDescent="0.25">
      <c r="V2" t="s">
        <v>565</v>
      </c>
      <c r="W2" t="s">
        <v>568</v>
      </c>
      <c r="X2" t="s">
        <v>569</v>
      </c>
      <c r="Y2" t="s">
        <v>570</v>
      </c>
      <c r="Z2" t="s">
        <v>571</v>
      </c>
      <c r="AA2" t="s">
        <v>566</v>
      </c>
      <c r="AB2" t="s">
        <v>567</v>
      </c>
      <c r="AC2" t="s">
        <v>572</v>
      </c>
      <c r="AD2" s="84" t="s">
        <v>573</v>
      </c>
    </row>
    <row r="3" spans="1:30" x14ac:dyDescent="0.25">
      <c r="A3" s="318" t="s">
        <v>555</v>
      </c>
      <c r="V3">
        <v>1</v>
      </c>
      <c r="W3" s="83">
        <f>SUM(Energieeffiziensberechnung!M4+Energieeffiziensberechnung!S4)</f>
        <v>646.92599999999993</v>
      </c>
      <c r="X3" s="319">
        <f>SUM(Wartung!I22+Wartung!I25+Wartung!I26+Wartung!I28)</f>
        <v>2580</v>
      </c>
      <c r="AA3" s="319">
        <f>SUM(Wartung!I25+Wartung!I26)</f>
        <v>780</v>
      </c>
      <c r="AB3" s="319">
        <f>Wartung!I28</f>
        <v>1000</v>
      </c>
      <c r="AC3" s="319"/>
      <c r="AD3" s="319"/>
    </row>
    <row r="4" spans="1:30" x14ac:dyDescent="0.25">
      <c r="V4">
        <v>2</v>
      </c>
      <c r="W4" s="83">
        <f>SUM(Energieeffiziensberechnung!M5+Energieeffiziensberechnung!S5)</f>
        <v>677.49839999999995</v>
      </c>
      <c r="X4" s="319">
        <f>SUM(Wartung!J22+Wartung!J25+Wartung!J26+Wartung!J27)</f>
        <v>2373.1999999999998</v>
      </c>
      <c r="AA4" s="319">
        <f>SUM(Wartung!J25+Wartung!J26)</f>
        <v>811.2</v>
      </c>
      <c r="AB4" s="319">
        <f>Wartung!J27</f>
        <v>750</v>
      </c>
      <c r="AC4" s="319">
        <f>SUM(Komponenten!J11)</f>
        <v>312</v>
      </c>
      <c r="AD4" s="319">
        <f>SUM(Komponenten!J11)</f>
        <v>312</v>
      </c>
    </row>
    <row r="5" spans="1:30" x14ac:dyDescent="0.25">
      <c r="V5">
        <v>3</v>
      </c>
      <c r="W5" s="83">
        <f>SUM(Energieeffiziensberechnung!M6+Energieeffiziensberechnung!S6)</f>
        <v>717.75059999999996</v>
      </c>
      <c r="X5" s="319">
        <f>SUM(Wartung!K22+Wartung!K25+Wartung!K26+Wartung!K28)</f>
        <v>2744.7186249999995</v>
      </c>
      <c r="AA5" s="319">
        <f>SUM(Wartung!K25+Wartung!K26)</f>
        <v>843.64800000000014</v>
      </c>
      <c r="AB5" s="319">
        <f>Wartung!K28</f>
        <v>1076.8906249999998</v>
      </c>
      <c r="AC5" s="319">
        <f>SUM(Komponenten!K10)</f>
        <v>865.28000000000009</v>
      </c>
      <c r="AD5" s="319">
        <f>SUM(Komponenten!K10)</f>
        <v>865.28000000000009</v>
      </c>
    </row>
    <row r="6" spans="1:30" x14ac:dyDescent="0.25">
      <c r="V6">
        <v>4</v>
      </c>
      <c r="W6" s="83">
        <f>SUM(Energieeffiziensberechnung!M7+Energieeffiziensberechnung!S7)</f>
        <v>751.90364999999997</v>
      </c>
      <c r="X6" s="319">
        <f>SUM(Wartung!L22+Wartung!L25+Wartung!L26+Wartung!L27)</f>
        <v>2501.9053699999995</v>
      </c>
      <c r="AA6" s="319">
        <f>SUM(Wartung!L25+Wartung!L26)</f>
        <v>877.39391999999998</v>
      </c>
      <c r="AB6" s="319">
        <f>Wartung!L27</f>
        <v>787.96874999999989</v>
      </c>
      <c r="AC6" s="319">
        <f>SUM(Komponenten!L11)</f>
        <v>337.45920000000001</v>
      </c>
      <c r="AD6" s="319">
        <f>SUM(Komponenten!L11)</f>
        <v>337.45920000000001</v>
      </c>
    </row>
    <row r="7" spans="1:30" x14ac:dyDescent="0.25">
      <c r="V7">
        <v>5</v>
      </c>
      <c r="W7" s="83">
        <f>SUM(Energieeffiziensberechnung!M8+Energieeffiziensberechnung!S8)</f>
        <v>787.39643249999995</v>
      </c>
      <c r="Y7" s="319">
        <f>SUM(Wartung!M24+Wartung!M25+Wartung!M26)</f>
        <v>3512.4896768000003</v>
      </c>
      <c r="Z7" s="319">
        <f>SUM(Wartung!M23+Wartung!M25+Wartung!M26+Wartung!M28)</f>
        <v>3243.8978896906247</v>
      </c>
      <c r="AA7" s="319">
        <f>SUM(Wartung!M25+Wartung!M26)</f>
        <v>912.4896768000001</v>
      </c>
      <c r="AB7" s="319">
        <f>Wartung!M28</f>
        <v>1131.4082128906246</v>
      </c>
      <c r="AC7" s="319"/>
      <c r="AD7" s="319"/>
    </row>
    <row r="8" spans="1:30" x14ac:dyDescent="0.25">
      <c r="V8">
        <v>6</v>
      </c>
      <c r="W8" s="83">
        <f>SUM(Energieeffiziensberechnung!M9+Energieeffiziensberechnung!S9)</f>
        <v>824.66385412499994</v>
      </c>
      <c r="Y8" s="319">
        <f>SUM(Wartung!N24+Wartung!N25+Wartung!N26)</f>
        <v>3626.9892638720003</v>
      </c>
      <c r="Z8" s="319">
        <f>SUM(Wartung!N23+Wartung!N25+Wartung!N26+Wartung!N27)</f>
        <v>3048.7593275316676</v>
      </c>
      <c r="AA8" s="319">
        <f>SUM(Wartung!N25+Wartung!N26)</f>
        <v>948.98926387200027</v>
      </c>
      <c r="AB8" s="319">
        <f>Wartung!N27</f>
        <v>869.77006365966758</v>
      </c>
      <c r="AC8" s="319">
        <f>SUM(Komponenten!N10+Komponenten!N11+Komponenten!N13+Komponenten!N14+Komponenten!N15)</f>
        <v>2737.4690304000005</v>
      </c>
      <c r="AD8" s="319">
        <f>SUM(Komponenten!N10+Komponenten!N11+Komponenten!N13+Komponenten!N14+Komponenten!N15+Komponenten!N27+Komponenten!N28)</f>
        <v>7604.0806400000019</v>
      </c>
    </row>
    <row r="9" spans="1:30" x14ac:dyDescent="0.25">
      <c r="V9">
        <v>7</v>
      </c>
      <c r="W9" s="83">
        <f>SUM(Energieeffiziensberechnung!M10+Energieeffiziensberechnung!S10)</f>
        <v>862.21784683124986</v>
      </c>
      <c r="Y9" s="319">
        <f>SUM(Wartung!O24+Wartung!O25+Wartung!O26)</f>
        <v>3745.2888344268799</v>
      </c>
      <c r="Z9" s="319">
        <f>SUM(Wartung!O23+Wartung!O25+Wartung!O26+Wartung!O28)</f>
        <v>3436.384588095093</v>
      </c>
      <c r="AA9" s="319">
        <f>SUM(Wartung!O25+Wartung!O26)</f>
        <v>986.94883442688024</v>
      </c>
      <c r="AB9" s="319">
        <f>Wartung!O28</f>
        <v>1188.6857536682126</v>
      </c>
      <c r="AC9" s="319"/>
      <c r="AD9" s="319"/>
    </row>
    <row r="10" spans="1:30" x14ac:dyDescent="0.25">
      <c r="V10">
        <v>8</v>
      </c>
      <c r="W10" s="83">
        <f>SUM(Energieeffiziensberechnung!M11+Energieeffiziensberechnung!S11)</f>
        <v>900.67717917281254</v>
      </c>
      <c r="Y10" s="319">
        <f>SUM(Wartung!P24+Wartung!P25+Wartung!P26)</f>
        <v>3867.5169878039555</v>
      </c>
      <c r="Z10" s="319">
        <f>SUM(Wartung!P23+Wartung!P25+Wartung!P26+Wartung!P27)</f>
        <v>3232.4977109363936</v>
      </c>
      <c r="AA10" s="319">
        <f>SUM(Wartung!P25+Wartung!P26)</f>
        <v>1026.4267878039554</v>
      </c>
      <c r="AB10" s="319">
        <f>Wartung!P27</f>
        <v>913.80217313243827</v>
      </c>
      <c r="AC10" s="319">
        <f>SUM(Komponenten!P11+Komponenten!P12+Komponenten!P16+Komponenten!P17+Komponenten!P18)</f>
        <v>5526.9134727905293</v>
      </c>
      <c r="AD10" s="319">
        <f>SUM(Komponenten!P11+Komponenten!P12+Komponenten!P16+Komponenten!P17+Komponenten!P18)</f>
        <v>5526.9134727905293</v>
      </c>
    </row>
    <row r="11" spans="1:30" x14ac:dyDescent="0.25">
      <c r="V11">
        <v>9</v>
      </c>
      <c r="W11" s="83">
        <f>SUM(Energieeffiziensberechnung!M12+Energieeffiziensberechnung!S12)</f>
        <v>943.55607813145298</v>
      </c>
      <c r="Y11" s="319">
        <f>SUM(Wartung!Q24+Wartung!Q25+Wartung!Q26)</f>
        <v>3993.8067653161133</v>
      </c>
      <c r="Z11" s="319">
        <f>SUM(Wartung!Q23+Wartung!Q25+Wartung!Q26+Wartung!Q28)</f>
        <v>3640.9222980137793</v>
      </c>
      <c r="AA11" s="319">
        <f>SUM(Wartung!Q25+Wartung!Q26)</f>
        <v>1067.4838593161139</v>
      </c>
      <c r="AB11" s="319">
        <f>Wartung!Q28</f>
        <v>1248.8629699476655</v>
      </c>
      <c r="AC11" s="319">
        <f>SUM(Komponenten!Q10+Komponenten!Q22)</f>
        <v>12043.407643566412</v>
      </c>
      <c r="AD11" s="319">
        <f>SUM(Komponenten!Q10+Komponenten!Q29)</f>
        <v>1779.1397655268561</v>
      </c>
    </row>
    <row r="12" spans="1:30" x14ac:dyDescent="0.25">
      <c r="V12">
        <v>10</v>
      </c>
      <c r="W12" s="83">
        <f>SUM(Energieeffiziensberechnung!M13+Energieeffiziensberechnung!S13)</f>
        <v>984.38726203802571</v>
      </c>
      <c r="Y12" s="319">
        <f>SUM(Wartung!R24+Wartung!R25+Wartung!R26)</f>
        <v>4124.2958068687585</v>
      </c>
      <c r="Z12" s="319">
        <f>SUM(Wartung!R23+Wartung!R25+Wartung!R26+Wartung!R27)</f>
        <v>3427.9364773047755</v>
      </c>
      <c r="AA12" s="319">
        <f>SUM(Wartung!R25+Wartung!R26)</f>
        <v>1110.1832136887585</v>
      </c>
      <c r="AB12" s="319">
        <f>Wartung!R27</f>
        <v>960.06340814726786</v>
      </c>
      <c r="AC12" s="319">
        <f>SUM(Komponenten!R11+Komponenten!R21)</f>
        <v>14660.111667941297</v>
      </c>
      <c r="AD12" s="319">
        <f>SUM(Komponenten!R11)</f>
        <v>426.99354372644552</v>
      </c>
    </row>
    <row r="13" spans="1:30" x14ac:dyDescent="0.25">
      <c r="V13">
        <v>11</v>
      </c>
      <c r="W13" s="83">
        <f>SUM(Energieeffiziensberechnung!M14+Energieeffiziensberechnung!S14)</f>
        <v>1029.6733851399272</v>
      </c>
      <c r="Y13" s="319">
        <f>SUM(Wartung!S24+Wartung!S25+Wartung!S26)</f>
        <v>4259.1265132117087</v>
      </c>
      <c r="Z13" s="319">
        <f>SUM(Wartung!S23+Wartung!S25+Wartung!S26+Wartung!S28)</f>
        <v>3858.3093018930426</v>
      </c>
      <c r="AA13" s="319">
        <f>SUM(Wartung!S25+Wartung!S26)</f>
        <v>1154.5905422363089</v>
      </c>
      <c r="AB13" s="319">
        <f>Wartung!S28</f>
        <v>1312.086657801266</v>
      </c>
      <c r="AC13" s="319"/>
      <c r="AD13" s="319"/>
    </row>
    <row r="14" spans="1:30" x14ac:dyDescent="0.25">
      <c r="V14">
        <v>12</v>
      </c>
      <c r="W14" s="83">
        <f>SUM(Energieeffiziensberechnung!M15+Energieeffiziensberechnung!S15)</f>
        <v>1076.9872943969235</v>
      </c>
      <c r="Y14" s="319">
        <f>SUM(Wartung!T24+Wartung!T25+Wartung!T26)</f>
        <v>4398.4462140304231</v>
      </c>
      <c r="Z14" s="319">
        <f>SUM(Wartung!T23+Wartung!T25+Wartung!T26+Wartung!T27)</f>
        <v>3635.863686512339</v>
      </c>
      <c r="AA14" s="319">
        <f>SUM(Wartung!T25+Wartung!T26)</f>
        <v>1200.7741639257611</v>
      </c>
      <c r="AB14" s="319">
        <f>Wartung!T27</f>
        <v>1008.6666181847231</v>
      </c>
      <c r="AC14" s="319">
        <f>SUM(Komponenten!T10+Komponenten!T11+Komponenten!T13+Komponenten!T14+Komponenten!T23+Komponenten!T15)</f>
        <v>8851.8608238117013</v>
      </c>
      <c r="AD14" s="319">
        <f>SUM(Komponenten!T10+Komponenten!T11+Komponenten!T13+Komponenten!T14+Komponenten!T15+Komponenten!T27+Komponenten!T28+Komponenten!T30)</f>
        <v>11161.04190828432</v>
      </c>
    </row>
    <row r="15" spans="1:30" x14ac:dyDescent="0.25">
      <c r="V15">
        <v>13</v>
      </c>
      <c r="W15" s="83">
        <f>SUM(Energieeffiziensberechnung!M16+Energieeffiziensberechnung!S16)</f>
        <v>1126.4478991167696</v>
      </c>
      <c r="Y15" s="319">
        <f>SUM(Wartung!U24+Wartung!U25+Wartung!U26)</f>
        <v>4542.4073420905934</v>
      </c>
      <c r="Z15" s="319">
        <f>SUM(Wartung!U23+Wartung!U25+Wartung!U26+Wartung!U28)</f>
        <v>4089.3996523471478</v>
      </c>
      <c r="AA15" s="319">
        <f>SUM(Wartung!U25+Wartung!U26)</f>
        <v>1248.8051304827918</v>
      </c>
      <c r="AB15" s="319">
        <f>Wartung!U28</f>
        <v>1378.5110448524549</v>
      </c>
      <c r="AC15" s="319"/>
      <c r="AD15" s="319"/>
    </row>
    <row r="16" spans="1:30" x14ac:dyDescent="0.25">
      <c r="V16">
        <v>14</v>
      </c>
      <c r="W16" s="83">
        <f>SUM(Energieeffiziensberechnung!M17+Energieeffiziensberechnung!S17)</f>
        <v>1180.3700540726081</v>
      </c>
      <c r="Y16" s="319">
        <f>SUM(Wartung!V24+Wartung!V25+Wartung!V26)</f>
        <v>4691.1676136581391</v>
      </c>
      <c r="Z16" s="319">
        <f>SUM(Wartung!V23+Wartung!V25+Wartung!V26+Wartung!V27)</f>
        <v>3857.1232653696266</v>
      </c>
      <c r="AA16" s="319">
        <f>SUM(Wartung!V25+Wartung!V26)</f>
        <v>1298.7573357021033</v>
      </c>
      <c r="AB16" s="319">
        <f>Wartung!V27</f>
        <v>1059.7303657303246</v>
      </c>
      <c r="AC16" s="319">
        <f>SUM(Komponenten!V11)</f>
        <v>499.52205219311674</v>
      </c>
      <c r="AD16" s="319">
        <f>SUM(Komponenten!V11)</f>
        <v>499.52205219311674</v>
      </c>
    </row>
    <row r="17" spans="22:30" x14ac:dyDescent="0.25">
      <c r="V17">
        <v>15</v>
      </c>
      <c r="W17" s="83">
        <f>SUM(Energieeffiziensberechnung!M18+Energieeffiziensberechnung!S18)</f>
        <v>1237.7810967762384</v>
      </c>
      <c r="Y17" s="319">
        <f>SUM(Wartung!W24+Wartung!W25+Wartung!W26)</f>
        <v>4844.8902154249045</v>
      </c>
      <c r="Z17" s="319">
        <f>SUM(Wartung!W23+Wartung!W25+Wartung!W26+Wartung!W28)</f>
        <v>4335.1072486639268</v>
      </c>
      <c r="AA17" s="319">
        <f>SUM(Wartung!W25+Wartung!W26)</f>
        <v>1350.7076291301876</v>
      </c>
      <c r="AB17" s="319">
        <f>Wartung!W28</f>
        <v>1448.2981664981105</v>
      </c>
      <c r="AC17" s="319">
        <f>SUM(Komponenten!W10)</f>
        <v>1385.3411580822433</v>
      </c>
      <c r="AD17" s="319">
        <f>SUM(Komponenten!W10)</f>
        <v>1385.3411580822433</v>
      </c>
    </row>
    <row r="31" spans="22:30" ht="26.25" customHeight="1" x14ac:dyDescent="0.25"/>
  </sheetData>
  <sheetProtection algorithmName="SHA-512" hashValue="gzjynBULC3byrc1KaYHlG6SfRwsFnYICF/MYuQKZG2BD7QcZTxArVXFg00T/B+cRauyXX1hmnPri0wRGcdNaNA==" saltValue="BEA15snZ94Mubb6wtYR8WA==" spinCount="100000" sheet="1" objects="1" scenarios="1"/>
  <pageMargins left="0.7" right="0.7" top="0.78740157499999996" bottom="0.78740157499999996" header="0.3" footer="0.3"/>
  <pageSetup paperSize="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3C5D6-BB40-4E3F-A5F4-9ED5FCADCEC5}">
  <sheetPr>
    <tabColor rgb="FFC00000"/>
  </sheetPr>
  <dimension ref="A1:P80"/>
  <sheetViews>
    <sheetView workbookViewId="0">
      <selection activeCell="F30" sqref="F30"/>
    </sheetView>
  </sheetViews>
  <sheetFormatPr baseColWidth="10" defaultColWidth="11.42578125" defaultRowHeight="12.75" x14ac:dyDescent="0.2"/>
  <cols>
    <col min="1" max="2" width="8.7109375" style="158" customWidth="1"/>
    <col min="3" max="3" width="9.5703125" style="158" customWidth="1"/>
    <col min="4" max="4" width="8.7109375" style="158" customWidth="1"/>
    <col min="5" max="5" width="9.7109375" style="158" customWidth="1"/>
    <col min="6" max="13" width="8.7109375" style="158" customWidth="1"/>
    <col min="14" max="14" width="10.140625" style="158" customWidth="1"/>
    <col min="15" max="17" width="8.7109375" style="158" customWidth="1"/>
    <col min="18" max="16384" width="11.42578125" style="158"/>
  </cols>
  <sheetData>
    <row r="1" spans="1:16" s="161" customFormat="1" ht="18" x14ac:dyDescent="0.25">
      <c r="A1" s="162" t="s">
        <v>225</v>
      </c>
      <c r="B1" s="162"/>
      <c r="C1" s="162"/>
      <c r="D1" s="162"/>
      <c r="E1" s="162"/>
      <c r="F1" s="162"/>
      <c r="G1" s="162"/>
      <c r="H1" s="162"/>
      <c r="I1" s="162"/>
      <c r="J1" s="162"/>
      <c r="K1" s="162"/>
      <c r="L1" s="162"/>
      <c r="M1" s="162"/>
      <c r="N1" s="162"/>
    </row>
    <row r="2" spans="1:16" ht="5.25" customHeight="1" x14ac:dyDescent="0.2"/>
    <row r="3" spans="1:16" ht="12.95" customHeight="1" x14ac:dyDescent="0.25">
      <c r="A3" s="393" t="s">
        <v>370</v>
      </c>
      <c r="B3" s="393"/>
      <c r="C3" s="393"/>
      <c r="D3" s="393"/>
      <c r="E3" s="393"/>
      <c r="F3" s="393"/>
      <c r="G3" s="393"/>
      <c r="H3" s="393"/>
      <c r="I3" s="393"/>
      <c r="J3" s="393"/>
      <c r="K3" s="393"/>
      <c r="L3" s="393"/>
      <c r="M3" s="393"/>
      <c r="N3" s="393"/>
    </row>
    <row r="4" spans="1:16" ht="5.25" customHeight="1" x14ac:dyDescent="0.2">
      <c r="A4" s="181"/>
      <c r="B4" s="181"/>
      <c r="C4" s="181"/>
      <c r="D4" s="181"/>
      <c r="E4" s="181"/>
      <c r="F4" s="181"/>
      <c r="G4" s="181"/>
      <c r="H4" s="181"/>
      <c r="I4" s="181"/>
      <c r="J4" s="181"/>
      <c r="K4" s="181"/>
      <c r="L4" s="181"/>
      <c r="M4" s="181"/>
      <c r="N4" s="181"/>
    </row>
    <row r="5" spans="1:16" ht="12.75" customHeight="1" x14ac:dyDescent="0.25">
      <c r="A5" s="87" t="s">
        <v>305</v>
      </c>
      <c r="B5" s="87"/>
      <c r="C5" s="87"/>
      <c r="D5" s="87"/>
      <c r="E5" s="181"/>
      <c r="F5" s="181"/>
      <c r="G5" s="181"/>
      <c r="H5" s="181"/>
      <c r="I5" s="181"/>
      <c r="J5" s="181"/>
      <c r="K5" s="181"/>
      <c r="L5" s="181"/>
      <c r="M5" s="181"/>
      <c r="N5" s="181"/>
    </row>
    <row r="6" spans="1:16" ht="5.25" customHeight="1" x14ac:dyDescent="0.2"/>
    <row r="7" spans="1:16" ht="27" customHeight="1" x14ac:dyDescent="0.25">
      <c r="A7" s="373" t="s">
        <v>306</v>
      </c>
      <c r="B7" s="373"/>
      <c r="C7" s="373"/>
      <c r="D7" s="373"/>
      <c r="E7" s="373"/>
      <c r="F7" s="373"/>
      <c r="G7" s="373"/>
      <c r="H7" s="373"/>
      <c r="I7" s="373"/>
      <c r="J7" s="373"/>
      <c r="K7" s="373"/>
      <c r="L7" s="373"/>
      <c r="M7" s="373"/>
      <c r="N7" s="373"/>
    </row>
    <row r="8" spans="1:16" ht="5.25" customHeight="1" thickBot="1" x14ac:dyDescent="0.3">
      <c r="A8" s="121"/>
      <c r="B8" s="121"/>
      <c r="C8" s="121"/>
      <c r="D8" s="121"/>
      <c r="E8" s="121"/>
      <c r="F8" s="121"/>
      <c r="G8" s="121"/>
      <c r="H8" s="121"/>
      <c r="I8" s="121"/>
      <c r="J8" s="121"/>
      <c r="K8" s="121"/>
      <c r="L8" s="121"/>
      <c r="M8" s="121"/>
      <c r="N8" s="121"/>
    </row>
    <row r="9" spans="1:16" ht="15.75" thickBot="1" x14ac:dyDescent="0.3">
      <c r="A9" s="190" t="s">
        <v>224</v>
      </c>
      <c r="B9" s="394" t="s">
        <v>307</v>
      </c>
      <c r="C9" s="394"/>
      <c r="D9" s="394" t="s">
        <v>308</v>
      </c>
      <c r="E9" s="394"/>
      <c r="F9" s="394"/>
      <c r="G9" s="394" t="s">
        <v>309</v>
      </c>
      <c r="H9" s="394"/>
      <c r="I9" s="394" t="s">
        <v>310</v>
      </c>
      <c r="J9" s="394"/>
      <c r="K9" s="397"/>
      <c r="L9" s="121"/>
      <c r="M9" s="121"/>
      <c r="N9" s="121"/>
    </row>
    <row r="10" spans="1:16" ht="12.75" customHeight="1" x14ac:dyDescent="0.25">
      <c r="A10" s="189">
        <v>2025</v>
      </c>
      <c r="B10" s="395">
        <v>0.35</v>
      </c>
      <c r="C10" s="395"/>
      <c r="D10" s="396">
        <v>0.05</v>
      </c>
      <c r="E10" s="395"/>
      <c r="F10" s="395"/>
      <c r="G10" s="395">
        <v>55</v>
      </c>
      <c r="H10" s="395"/>
      <c r="I10" s="395" t="s">
        <v>311</v>
      </c>
      <c r="J10" s="395"/>
      <c r="K10" s="395"/>
      <c r="L10" s="121"/>
      <c r="M10" s="121"/>
      <c r="N10" s="121"/>
    </row>
    <row r="11" spans="1:16" ht="12.75" customHeight="1" x14ac:dyDescent="0.25">
      <c r="A11" s="188">
        <v>2026</v>
      </c>
      <c r="B11" s="385">
        <v>0.36799999999999999</v>
      </c>
      <c r="C11" s="385"/>
      <c r="D11" s="386">
        <v>5.0999999999999997E-2</v>
      </c>
      <c r="E11" s="385"/>
      <c r="F11" s="385"/>
      <c r="G11" s="385">
        <v>65</v>
      </c>
      <c r="H11" s="385"/>
      <c r="I11" s="385" t="s">
        <v>312</v>
      </c>
      <c r="J11" s="385"/>
      <c r="K11" s="385"/>
      <c r="L11" s="121"/>
      <c r="M11" s="121"/>
      <c r="N11" s="121"/>
    </row>
    <row r="12" spans="1:16" ht="12.75" customHeight="1" x14ac:dyDescent="0.25">
      <c r="A12" s="188">
        <v>2027</v>
      </c>
      <c r="B12" s="385">
        <v>0.38700000000000001</v>
      </c>
      <c r="C12" s="385"/>
      <c r="D12" s="386">
        <v>5.1999999999999998E-2</v>
      </c>
      <c r="E12" s="385"/>
      <c r="F12" s="385"/>
      <c r="G12" s="385">
        <v>75</v>
      </c>
      <c r="H12" s="385"/>
      <c r="I12" s="385" t="s">
        <v>313</v>
      </c>
      <c r="J12" s="385"/>
      <c r="K12" s="385"/>
      <c r="L12" s="121"/>
      <c r="M12" s="121"/>
      <c r="N12" s="121"/>
    </row>
    <row r="13" spans="1:16" ht="12.75" customHeight="1" x14ac:dyDescent="0.25">
      <c r="A13" s="188">
        <v>2028</v>
      </c>
      <c r="B13" s="385">
        <v>0.40699999999999997</v>
      </c>
      <c r="C13" s="385"/>
      <c r="D13" s="386">
        <v>5.1999999999999998E-2</v>
      </c>
      <c r="E13" s="385"/>
      <c r="F13" s="385"/>
      <c r="G13" s="385">
        <v>85</v>
      </c>
      <c r="H13" s="385"/>
      <c r="I13" s="385" t="s">
        <v>313</v>
      </c>
      <c r="J13" s="385"/>
      <c r="K13" s="385"/>
      <c r="L13" s="121"/>
      <c r="M13" s="121"/>
      <c r="N13" s="121"/>
    </row>
    <row r="14" spans="1:16" ht="12.75" customHeight="1" x14ac:dyDescent="0.25">
      <c r="A14" s="188">
        <v>2029</v>
      </c>
      <c r="B14" s="385">
        <v>0.42799999999999999</v>
      </c>
      <c r="C14" s="385"/>
      <c r="D14" s="386">
        <v>5.2999999999999999E-2</v>
      </c>
      <c r="E14" s="385"/>
      <c r="F14" s="385"/>
      <c r="G14" s="385">
        <v>95</v>
      </c>
      <c r="H14" s="385"/>
      <c r="I14" s="385" t="s">
        <v>314</v>
      </c>
      <c r="J14" s="385"/>
      <c r="K14" s="385"/>
      <c r="L14" s="121"/>
      <c r="M14" s="121"/>
      <c r="N14" s="121"/>
    </row>
    <row r="15" spans="1:16" ht="12.75" customHeight="1" x14ac:dyDescent="0.25">
      <c r="A15" s="188">
        <v>2030</v>
      </c>
      <c r="B15" s="385">
        <v>0.45</v>
      </c>
      <c r="C15" s="385"/>
      <c r="D15" s="386">
        <v>5.2999999999999999E-2</v>
      </c>
      <c r="E15" s="385"/>
      <c r="F15" s="385"/>
      <c r="G15" s="385">
        <v>105</v>
      </c>
      <c r="H15" s="385"/>
      <c r="I15" s="385" t="s">
        <v>315</v>
      </c>
      <c r="J15" s="385"/>
      <c r="K15" s="385"/>
      <c r="L15" s="121"/>
      <c r="M15" s="121"/>
      <c r="N15" s="121"/>
    </row>
    <row r="16" spans="1:16" s="159" customFormat="1" ht="12.75" customHeight="1" x14ac:dyDescent="0.25">
      <c r="A16" s="188">
        <v>2031</v>
      </c>
      <c r="B16" s="385">
        <v>0.47399999999999998</v>
      </c>
      <c r="C16" s="385"/>
      <c r="D16" s="386">
        <v>5.3999999999999999E-2</v>
      </c>
      <c r="E16" s="385"/>
      <c r="F16" s="385"/>
      <c r="G16" s="387">
        <v>115</v>
      </c>
      <c r="H16" s="385"/>
      <c r="I16" s="385" t="s">
        <v>316</v>
      </c>
      <c r="J16" s="385"/>
      <c r="K16" s="385"/>
      <c r="L16" s="121"/>
      <c r="M16" s="121"/>
      <c r="N16" s="121"/>
      <c r="O16" s="158"/>
      <c r="P16" s="158"/>
    </row>
    <row r="17" spans="1:14" ht="12.75" customHeight="1" x14ac:dyDescent="0.25">
      <c r="A17" s="188">
        <v>2032</v>
      </c>
      <c r="B17" s="385">
        <v>0.499</v>
      </c>
      <c r="C17" s="385"/>
      <c r="D17" s="386">
        <v>5.3999999999999999E-2</v>
      </c>
      <c r="E17" s="385"/>
      <c r="F17" s="385"/>
      <c r="G17" s="385">
        <v>125</v>
      </c>
      <c r="H17" s="385"/>
      <c r="I17" s="385" t="s">
        <v>317</v>
      </c>
      <c r="J17" s="385"/>
      <c r="K17" s="385"/>
      <c r="L17" s="121"/>
      <c r="M17" s="121"/>
      <c r="N17" s="121"/>
    </row>
    <row r="18" spans="1:14" ht="12.75" customHeight="1" x14ac:dyDescent="0.25">
      <c r="A18" s="188">
        <v>2033</v>
      </c>
      <c r="B18" s="385">
        <v>0.52600000000000002</v>
      </c>
      <c r="C18" s="385"/>
      <c r="D18" s="386">
        <v>5.5E-2</v>
      </c>
      <c r="E18" s="385"/>
      <c r="F18" s="385"/>
      <c r="G18" s="385">
        <v>135</v>
      </c>
      <c r="H18" s="385"/>
      <c r="I18" s="385" t="s">
        <v>318</v>
      </c>
      <c r="J18" s="385"/>
      <c r="K18" s="385"/>
      <c r="L18" s="121"/>
      <c r="M18" s="121"/>
      <c r="N18" s="121"/>
    </row>
    <row r="19" spans="1:14" ht="12.75" customHeight="1" x14ac:dyDescent="0.25">
      <c r="A19" s="188">
        <v>2034</v>
      </c>
      <c r="B19" s="385">
        <v>0.55500000000000005</v>
      </c>
      <c r="C19" s="385"/>
      <c r="D19" s="386">
        <v>5.5E-2</v>
      </c>
      <c r="E19" s="385"/>
      <c r="F19" s="385"/>
      <c r="G19" s="385">
        <v>145</v>
      </c>
      <c r="H19" s="385"/>
      <c r="I19" s="385" t="s">
        <v>319</v>
      </c>
      <c r="J19" s="385"/>
      <c r="K19" s="385"/>
      <c r="L19" s="121"/>
      <c r="M19" s="121"/>
      <c r="N19" s="121"/>
    </row>
    <row r="20" spans="1:14" ht="12.75" customHeight="1" x14ac:dyDescent="0.25">
      <c r="A20" s="188">
        <v>2035</v>
      </c>
      <c r="B20" s="385">
        <v>0.58499999999999996</v>
      </c>
      <c r="C20" s="385"/>
      <c r="D20" s="386">
        <v>5.6000000000000001E-2</v>
      </c>
      <c r="E20" s="385"/>
      <c r="F20" s="385"/>
      <c r="G20" s="385">
        <v>155</v>
      </c>
      <c r="H20" s="385"/>
      <c r="I20" s="385" t="s">
        <v>320</v>
      </c>
      <c r="J20" s="385"/>
      <c r="K20" s="385"/>
      <c r="L20" s="121"/>
      <c r="M20" s="121"/>
      <c r="N20" s="121"/>
    </row>
    <row r="21" spans="1:14" ht="12.75" customHeight="1" x14ac:dyDescent="0.25">
      <c r="A21" s="188">
        <v>2036</v>
      </c>
      <c r="B21" s="385">
        <v>0.61799999999999999</v>
      </c>
      <c r="C21" s="385"/>
      <c r="D21" s="386">
        <v>5.6000000000000001E-2</v>
      </c>
      <c r="E21" s="385"/>
      <c r="F21" s="385"/>
      <c r="G21" s="385">
        <v>165</v>
      </c>
      <c r="H21" s="385"/>
      <c r="I21" s="385" t="s">
        <v>321</v>
      </c>
      <c r="J21" s="385"/>
      <c r="K21" s="385"/>
      <c r="L21" s="121"/>
      <c r="M21" s="121"/>
      <c r="N21" s="121"/>
    </row>
    <row r="22" spans="1:14" ht="12.75" customHeight="1" x14ac:dyDescent="0.25">
      <c r="A22" s="188">
        <v>2037</v>
      </c>
      <c r="B22" s="385">
        <v>0.65300000000000002</v>
      </c>
      <c r="C22" s="385"/>
      <c r="D22" s="386">
        <v>5.7000000000000002E-2</v>
      </c>
      <c r="E22" s="385"/>
      <c r="F22" s="385"/>
      <c r="G22" s="385">
        <v>175</v>
      </c>
      <c r="H22" s="385"/>
      <c r="I22" s="385" t="s">
        <v>322</v>
      </c>
      <c r="J22" s="385"/>
      <c r="K22" s="385"/>
      <c r="L22" s="121"/>
      <c r="M22" s="121"/>
      <c r="N22" s="121"/>
    </row>
    <row r="23" spans="1:14" ht="12.75" customHeight="1" x14ac:dyDescent="0.25">
      <c r="A23" s="188">
        <v>2038</v>
      </c>
      <c r="B23" s="385">
        <v>0.69</v>
      </c>
      <c r="C23" s="385"/>
      <c r="D23" s="386">
        <v>5.7000000000000002E-2</v>
      </c>
      <c r="E23" s="385"/>
      <c r="F23" s="385"/>
      <c r="G23" s="385">
        <v>185</v>
      </c>
      <c r="H23" s="385"/>
      <c r="I23" s="385" t="s">
        <v>323</v>
      </c>
      <c r="J23" s="385"/>
      <c r="K23" s="385"/>
      <c r="L23" s="121"/>
      <c r="M23" s="121"/>
      <c r="N23" s="121"/>
    </row>
    <row r="24" spans="1:14" ht="12.75" customHeight="1" x14ac:dyDescent="0.25">
      <c r="A24" s="188">
        <v>2039</v>
      </c>
      <c r="B24" s="385">
        <v>0.72899999999999998</v>
      </c>
      <c r="C24" s="385"/>
      <c r="D24" s="386">
        <v>5.8000000000000003E-2</v>
      </c>
      <c r="E24" s="385"/>
      <c r="F24" s="385"/>
      <c r="G24" s="385">
        <v>195</v>
      </c>
      <c r="H24" s="385"/>
      <c r="I24" s="385" t="s">
        <v>323</v>
      </c>
      <c r="J24" s="385"/>
      <c r="K24" s="385"/>
      <c r="L24" s="121"/>
      <c r="M24" s="121"/>
      <c r="N24" s="121"/>
    </row>
    <row r="25" spans="1:14" ht="5.25" customHeight="1" x14ac:dyDescent="0.2"/>
    <row r="26" spans="1:14" ht="14.25" customHeight="1" x14ac:dyDescent="0.2">
      <c r="A26" s="158" t="s">
        <v>324</v>
      </c>
    </row>
    <row r="27" spans="1:14" ht="5.25" customHeight="1" x14ac:dyDescent="0.2">
      <c r="A27" s="160"/>
    </row>
    <row r="28" spans="1:14" ht="12.75" customHeight="1" x14ac:dyDescent="0.2">
      <c r="A28" s="184" t="s">
        <v>325</v>
      </c>
    </row>
    <row r="29" spans="1:14" ht="5.25" customHeight="1" x14ac:dyDescent="0.25">
      <c r="A29" s="121"/>
    </row>
    <row r="30" spans="1:14" ht="12.75" customHeight="1" x14ac:dyDescent="0.25">
      <c r="A30" s="87" t="s">
        <v>326</v>
      </c>
    </row>
    <row r="31" spans="1:14" ht="5.25" customHeight="1" x14ac:dyDescent="0.2">
      <c r="A31" s="182"/>
    </row>
    <row r="32" spans="1:14" ht="12.75" customHeight="1" x14ac:dyDescent="0.2">
      <c r="A32" s="182" t="s">
        <v>327</v>
      </c>
    </row>
    <row r="33" spans="1:14" ht="5.25" customHeight="1" x14ac:dyDescent="0.25">
      <c r="A33" s="121"/>
    </row>
    <row r="34" spans="1:14" ht="12.75" customHeight="1" x14ac:dyDescent="0.25">
      <c r="A34" s="87" t="s">
        <v>328</v>
      </c>
    </row>
    <row r="35" spans="1:14" ht="5.25" customHeight="1" x14ac:dyDescent="0.2">
      <c r="A35" s="182"/>
    </row>
    <row r="36" spans="1:14" ht="12.75" customHeight="1" x14ac:dyDescent="0.2">
      <c r="A36" s="182" t="s">
        <v>329</v>
      </c>
    </row>
    <row r="37" spans="1:14" ht="5.25" customHeight="1" x14ac:dyDescent="0.25">
      <c r="A37" s="121"/>
    </row>
    <row r="38" spans="1:14" ht="12.75" customHeight="1" x14ac:dyDescent="0.25">
      <c r="A38" s="87" t="s">
        <v>330</v>
      </c>
    </row>
    <row r="39" spans="1:14" ht="5.25" customHeight="1" x14ac:dyDescent="0.2">
      <c r="A39" s="182"/>
    </row>
    <row r="40" spans="1:14" ht="12.75" customHeight="1" x14ac:dyDescent="0.2">
      <c r="A40" s="182" t="s">
        <v>331</v>
      </c>
    </row>
    <row r="41" spans="1:14" ht="5.25" customHeight="1" x14ac:dyDescent="0.25">
      <c r="A41" s="121"/>
    </row>
    <row r="42" spans="1:14" ht="12.75" customHeight="1" x14ac:dyDescent="0.25">
      <c r="A42" s="87" t="s">
        <v>332</v>
      </c>
    </row>
    <row r="43" spans="1:14" ht="5.25" customHeight="1" x14ac:dyDescent="0.2">
      <c r="A43" s="182"/>
    </row>
    <row r="44" spans="1:14" ht="12.75" customHeight="1" x14ac:dyDescent="0.2">
      <c r="A44" s="182" t="s">
        <v>333</v>
      </c>
    </row>
    <row r="45" spans="1:14" ht="5.25" customHeight="1" x14ac:dyDescent="0.2">
      <c r="A45" s="160"/>
    </row>
    <row r="46" spans="1:14" s="161" customFormat="1" ht="18" x14ac:dyDescent="0.25">
      <c r="A46" s="162" t="s">
        <v>225</v>
      </c>
      <c r="B46" s="162"/>
      <c r="C46" s="162"/>
      <c r="D46" s="162"/>
      <c r="E46" s="162"/>
      <c r="F46" s="162"/>
      <c r="G46" s="162"/>
      <c r="H46" s="162"/>
      <c r="I46" s="162"/>
      <c r="J46" s="162"/>
      <c r="K46" s="162"/>
      <c r="L46" s="162"/>
      <c r="M46" s="162"/>
      <c r="N46" s="162"/>
    </row>
    <row r="47" spans="1:14" s="156" customFormat="1" ht="5.25" customHeight="1" x14ac:dyDescent="0.25"/>
    <row r="48" spans="1:14" ht="18.75" x14ac:dyDescent="0.2">
      <c r="A48" s="184" t="s">
        <v>334</v>
      </c>
    </row>
    <row r="49" spans="1:15" ht="5.25" customHeight="1" x14ac:dyDescent="0.25">
      <c r="A49" s="121"/>
    </row>
    <row r="50" spans="1:15" ht="15" x14ac:dyDescent="0.25">
      <c r="A50" s="121" t="s">
        <v>335</v>
      </c>
    </row>
    <row r="51" spans="1:15" ht="5.25" customHeight="1" x14ac:dyDescent="0.2">
      <c r="A51" s="182"/>
    </row>
    <row r="52" spans="1:15" ht="15" x14ac:dyDescent="0.2">
      <c r="A52" s="179" t="s">
        <v>339</v>
      </c>
    </row>
    <row r="53" spans="1:15" ht="5.25" customHeight="1" x14ac:dyDescent="0.2">
      <c r="A53" s="182"/>
    </row>
    <row r="54" spans="1:15" ht="15" x14ac:dyDescent="0.2">
      <c r="A54" s="179" t="s">
        <v>336</v>
      </c>
    </row>
    <row r="55" spans="1:15" ht="15" x14ac:dyDescent="0.2">
      <c r="A55" s="182" t="s">
        <v>337</v>
      </c>
    </row>
    <row r="56" spans="1:15" ht="15" x14ac:dyDescent="0.2">
      <c r="A56" s="182" t="s">
        <v>338</v>
      </c>
    </row>
    <row r="58" spans="1:15" ht="18" x14ac:dyDescent="0.25">
      <c r="A58" s="187" t="s">
        <v>574</v>
      </c>
      <c r="B58"/>
    </row>
    <row r="59" spans="1:15" ht="5.25" customHeight="1" thickBot="1" x14ac:dyDescent="0.3">
      <c r="A59"/>
      <c r="B59"/>
    </row>
    <row r="60" spans="1:15" ht="15.75" customHeight="1" thickBot="1" x14ac:dyDescent="0.3">
      <c r="A60" s="379" t="s">
        <v>340</v>
      </c>
      <c r="B60" s="380"/>
      <c r="C60" s="380"/>
      <c r="D60" s="380"/>
      <c r="E60" s="383" t="s">
        <v>341</v>
      </c>
      <c r="F60" s="380"/>
      <c r="G60" s="380"/>
      <c r="H60" s="380"/>
      <c r="I60" s="384"/>
      <c r="K60" s="367"/>
      <c r="L60" s="368"/>
      <c r="M60" s="368"/>
      <c r="N60" s="368"/>
      <c r="O60" s="368"/>
    </row>
    <row r="61" spans="1:15" ht="15" customHeight="1" x14ac:dyDescent="0.25">
      <c r="A61" s="381" t="s">
        <v>342</v>
      </c>
      <c r="B61" s="382"/>
      <c r="C61" s="382"/>
      <c r="D61" s="382"/>
      <c r="E61" s="388" t="s">
        <v>343</v>
      </c>
      <c r="F61" s="389"/>
      <c r="G61" s="389"/>
      <c r="H61" s="389"/>
      <c r="I61" s="389"/>
      <c r="K61" s="367"/>
      <c r="L61" s="368"/>
      <c r="M61" s="368"/>
      <c r="N61" s="368"/>
      <c r="O61" s="368"/>
    </row>
    <row r="62" spans="1:15" ht="15" customHeight="1" x14ac:dyDescent="0.25">
      <c r="A62" s="377" t="s">
        <v>344</v>
      </c>
      <c r="B62" s="378"/>
      <c r="C62" s="378"/>
      <c r="D62" s="378"/>
      <c r="E62" s="375" t="s">
        <v>345</v>
      </c>
      <c r="F62" s="376"/>
      <c r="G62" s="376"/>
      <c r="H62" s="376"/>
      <c r="I62" s="376"/>
      <c r="K62" s="367"/>
      <c r="L62" s="368"/>
      <c r="M62" s="368"/>
      <c r="N62" s="368"/>
      <c r="O62" s="368"/>
    </row>
    <row r="63" spans="1:15" ht="15" customHeight="1" x14ac:dyDescent="0.25">
      <c r="A63" s="377" t="s">
        <v>346</v>
      </c>
      <c r="B63" s="378"/>
      <c r="C63" s="378"/>
      <c r="D63" s="378"/>
      <c r="E63" s="375" t="s">
        <v>347</v>
      </c>
      <c r="F63" s="376"/>
      <c r="G63" s="376"/>
      <c r="H63" s="376"/>
      <c r="I63" s="376"/>
      <c r="K63" s="367"/>
      <c r="L63" s="368"/>
      <c r="M63" s="368"/>
      <c r="N63" s="368"/>
      <c r="O63" s="368"/>
    </row>
    <row r="64" spans="1:15" ht="15" customHeight="1" x14ac:dyDescent="0.25">
      <c r="A64" s="377" t="s">
        <v>348</v>
      </c>
      <c r="B64" s="378"/>
      <c r="C64" s="378"/>
      <c r="D64" s="378"/>
      <c r="E64" s="375" t="s">
        <v>349</v>
      </c>
      <c r="F64" s="376"/>
      <c r="G64" s="376"/>
      <c r="H64" s="376"/>
      <c r="I64" s="376"/>
      <c r="K64" s="367"/>
      <c r="L64" s="368"/>
      <c r="M64" s="368"/>
      <c r="N64" s="368"/>
      <c r="O64" s="368"/>
    </row>
    <row r="65" spans="1:15" ht="15" customHeight="1" x14ac:dyDescent="0.25">
      <c r="A65" s="377" t="s">
        <v>350</v>
      </c>
      <c r="B65" s="378"/>
      <c r="C65" s="378"/>
      <c r="D65" s="378"/>
      <c r="E65" s="375" t="s">
        <v>351</v>
      </c>
      <c r="F65" s="376"/>
      <c r="G65" s="376"/>
      <c r="H65" s="376"/>
      <c r="I65" s="376"/>
      <c r="K65" s="367"/>
      <c r="L65" s="368"/>
      <c r="M65" s="368"/>
      <c r="N65" s="368"/>
      <c r="O65" s="368"/>
    </row>
    <row r="66" spans="1:15" ht="15" x14ac:dyDescent="0.25">
      <c r="A66" s="377" t="s">
        <v>352</v>
      </c>
      <c r="B66" s="378"/>
      <c r="C66" s="378"/>
      <c r="D66" s="378"/>
      <c r="E66" s="375" t="s">
        <v>353</v>
      </c>
      <c r="F66" s="376"/>
      <c r="G66" s="376"/>
      <c r="H66" s="376"/>
      <c r="I66" s="376"/>
    </row>
    <row r="68" spans="1:15" ht="18" customHeight="1" x14ac:dyDescent="0.2">
      <c r="A68" s="371" t="s">
        <v>354</v>
      </c>
      <c r="B68" s="372"/>
      <c r="C68" s="372"/>
      <c r="D68" s="372"/>
      <c r="E68" s="372"/>
      <c r="F68" s="372"/>
      <c r="G68" s="372"/>
      <c r="H68" s="372"/>
      <c r="I68" s="372"/>
      <c r="J68" s="372"/>
      <c r="K68" s="372"/>
      <c r="L68" s="372"/>
      <c r="M68" s="372"/>
      <c r="N68" s="372"/>
    </row>
    <row r="69" spans="1:15" ht="15" x14ac:dyDescent="0.25">
      <c r="A69" s="373" t="s">
        <v>355</v>
      </c>
      <c r="B69" s="374"/>
      <c r="C69" s="374"/>
      <c r="D69" s="374"/>
      <c r="E69" s="374"/>
      <c r="F69" s="374"/>
      <c r="G69" s="374"/>
      <c r="H69" s="374"/>
      <c r="I69" s="374"/>
      <c r="J69" s="374"/>
      <c r="K69" s="374"/>
      <c r="L69" s="374"/>
      <c r="M69" s="374"/>
      <c r="N69" s="374"/>
    </row>
    <row r="70" spans="1:15" ht="15" x14ac:dyDescent="0.25">
      <c r="A70" s="373" t="s">
        <v>357</v>
      </c>
      <c r="B70" s="374"/>
      <c r="C70" s="374"/>
      <c r="D70" s="374"/>
      <c r="E70" s="374"/>
      <c r="F70" s="374"/>
      <c r="G70" s="374"/>
      <c r="H70" s="374"/>
      <c r="I70" s="374"/>
      <c r="J70" s="374"/>
      <c r="K70" s="374"/>
      <c r="L70" s="374"/>
      <c r="M70" s="374"/>
      <c r="N70" s="374"/>
    </row>
    <row r="71" spans="1:15" ht="15" x14ac:dyDescent="0.25">
      <c r="A71" s="373" t="s">
        <v>462</v>
      </c>
      <c r="B71" s="374"/>
      <c r="C71" s="374"/>
      <c r="D71" s="374"/>
      <c r="E71" s="374"/>
      <c r="F71" s="374"/>
      <c r="G71" s="374"/>
      <c r="H71" s="374"/>
      <c r="I71" s="374"/>
      <c r="J71" s="374"/>
      <c r="K71" s="374"/>
      <c r="L71" s="374"/>
      <c r="M71" s="374"/>
      <c r="N71" s="374"/>
    </row>
    <row r="72" spans="1:15" ht="15" x14ac:dyDescent="0.25">
      <c r="A72" s="373" t="s">
        <v>356</v>
      </c>
      <c r="B72" s="374"/>
      <c r="C72" s="374"/>
      <c r="D72" s="374"/>
      <c r="E72" s="374"/>
      <c r="F72" s="374"/>
      <c r="G72" s="374"/>
      <c r="H72" s="374"/>
      <c r="I72" s="374"/>
      <c r="J72" s="374"/>
      <c r="K72" s="374"/>
      <c r="L72" s="374"/>
      <c r="M72" s="374"/>
      <c r="N72" s="374"/>
    </row>
    <row r="73" spans="1:15" ht="5.25" customHeight="1" thickBot="1" x14ac:dyDescent="0.3">
      <c r="A73" s="369"/>
      <c r="B73" s="370"/>
      <c r="C73" s="370"/>
      <c r="D73" s="370"/>
      <c r="E73" s="370"/>
      <c r="F73" s="370"/>
      <c r="G73" s="370"/>
      <c r="H73" s="370"/>
      <c r="I73" s="370"/>
      <c r="J73" s="370"/>
      <c r="K73" s="370"/>
      <c r="L73" s="370"/>
      <c r="M73" s="370"/>
      <c r="N73" s="370"/>
    </row>
    <row r="74" spans="1:15" ht="15.75" thickBot="1" x14ac:dyDescent="0.3">
      <c r="A74" s="390" t="s">
        <v>358</v>
      </c>
      <c r="B74" s="391"/>
      <c r="C74" s="391"/>
      <c r="D74" s="391"/>
      <c r="E74" s="391"/>
      <c r="F74" s="391"/>
      <c r="G74" s="391"/>
      <c r="H74" s="392"/>
    </row>
    <row r="75" spans="1:15" ht="15" x14ac:dyDescent="0.25">
      <c r="A75" s="403" t="s">
        <v>359</v>
      </c>
      <c r="B75" s="382"/>
      <c r="C75" s="382"/>
      <c r="D75" s="382"/>
      <c r="E75" s="399" t="s">
        <v>360</v>
      </c>
      <c r="F75" s="400"/>
      <c r="G75" s="400"/>
      <c r="H75" s="400"/>
    </row>
    <row r="76" spans="1:15" ht="15" x14ac:dyDescent="0.25">
      <c r="A76" s="398" t="s">
        <v>361</v>
      </c>
      <c r="B76" s="378"/>
      <c r="C76" s="378"/>
      <c r="D76" s="378"/>
      <c r="E76" s="401" t="s">
        <v>362</v>
      </c>
      <c r="F76" s="402"/>
      <c r="G76" s="402"/>
      <c r="H76" s="402"/>
    </row>
    <row r="77" spans="1:15" ht="15" x14ac:dyDescent="0.25">
      <c r="A77" s="398" t="s">
        <v>363</v>
      </c>
      <c r="B77" s="378"/>
      <c r="C77" s="378"/>
      <c r="D77" s="378"/>
      <c r="E77" s="401" t="s">
        <v>364</v>
      </c>
      <c r="F77" s="402"/>
      <c r="G77" s="402"/>
      <c r="H77" s="402"/>
    </row>
    <row r="78" spans="1:15" ht="15" x14ac:dyDescent="0.25">
      <c r="A78" s="398" t="s">
        <v>365</v>
      </c>
      <c r="B78" s="378"/>
      <c r="C78" s="378"/>
      <c r="D78" s="378"/>
      <c r="E78" s="401" t="s">
        <v>455</v>
      </c>
      <c r="F78" s="402"/>
      <c r="G78" s="402"/>
      <c r="H78" s="402"/>
    </row>
    <row r="79" spans="1:15" ht="15" x14ac:dyDescent="0.25">
      <c r="A79" s="398" t="s">
        <v>366</v>
      </c>
      <c r="B79" s="378"/>
      <c r="C79" s="378"/>
      <c r="D79" s="378"/>
      <c r="E79" s="401" t="s">
        <v>367</v>
      </c>
      <c r="F79" s="402"/>
      <c r="G79" s="402"/>
      <c r="H79" s="402"/>
    </row>
    <row r="80" spans="1:15" ht="15" x14ac:dyDescent="0.25">
      <c r="A80" s="398" t="s">
        <v>368</v>
      </c>
      <c r="B80" s="378"/>
      <c r="C80" s="378"/>
      <c r="D80" s="378"/>
      <c r="E80" s="401" t="s">
        <v>369</v>
      </c>
      <c r="F80" s="402"/>
      <c r="G80" s="402"/>
      <c r="H80" s="402"/>
    </row>
  </sheetData>
  <sheetProtection password="C667" sheet="1"/>
  <mergeCells count="105">
    <mergeCell ref="A80:D80"/>
    <mergeCell ref="E75:H75"/>
    <mergeCell ref="E76:H76"/>
    <mergeCell ref="E77:H77"/>
    <mergeCell ref="E78:H78"/>
    <mergeCell ref="E79:H79"/>
    <mergeCell ref="E80:H80"/>
    <mergeCell ref="A75:D75"/>
    <mergeCell ref="A76:D76"/>
    <mergeCell ref="A77:D77"/>
    <mergeCell ref="A78:D78"/>
    <mergeCell ref="A79:D79"/>
    <mergeCell ref="E61:I61"/>
    <mergeCell ref="E62:I62"/>
    <mergeCell ref="A74:H74"/>
    <mergeCell ref="A3:N3"/>
    <mergeCell ref="A7:N7"/>
    <mergeCell ref="B9:C9"/>
    <mergeCell ref="B10:C10"/>
    <mergeCell ref="B11:C11"/>
    <mergeCell ref="D9:F9"/>
    <mergeCell ref="D10:F10"/>
    <mergeCell ref="D11:F11"/>
    <mergeCell ref="I9:K9"/>
    <mergeCell ref="I10:K10"/>
    <mergeCell ref="G9:H9"/>
    <mergeCell ref="G10:H10"/>
    <mergeCell ref="G11:H11"/>
    <mergeCell ref="G12:H12"/>
    <mergeCell ref="G13:H13"/>
    <mergeCell ref="G14:H14"/>
    <mergeCell ref="I11:K11"/>
    <mergeCell ref="B12:C12"/>
    <mergeCell ref="B13:C13"/>
    <mergeCell ref="B14:C14"/>
    <mergeCell ref="I12:K12"/>
    <mergeCell ref="I13:K13"/>
    <mergeCell ref="D14:F14"/>
    <mergeCell ref="D15:F15"/>
    <mergeCell ref="B15:C15"/>
    <mergeCell ref="D12:F12"/>
    <mergeCell ref="D13:F13"/>
    <mergeCell ref="I24:K24"/>
    <mergeCell ref="I14:K14"/>
    <mergeCell ref="I15:K15"/>
    <mergeCell ref="I16:K16"/>
    <mergeCell ref="I17:K17"/>
    <mergeCell ref="G18:H18"/>
    <mergeCell ref="D19:F19"/>
    <mergeCell ref="D17:F17"/>
    <mergeCell ref="D24:F24"/>
    <mergeCell ref="G15:H15"/>
    <mergeCell ref="G21:H21"/>
    <mergeCell ref="G24:H24"/>
    <mergeCell ref="B17:C17"/>
    <mergeCell ref="G17:H17"/>
    <mergeCell ref="G16:H16"/>
    <mergeCell ref="B16:C16"/>
    <mergeCell ref="D16:F16"/>
    <mergeCell ref="B21:C21"/>
    <mergeCell ref="B18:C18"/>
    <mergeCell ref="D20:F20"/>
    <mergeCell ref="D21:F21"/>
    <mergeCell ref="B20:C20"/>
    <mergeCell ref="B19:C19"/>
    <mergeCell ref="D18:F18"/>
    <mergeCell ref="B22:C22"/>
    <mergeCell ref="B23:C23"/>
    <mergeCell ref="B24:C24"/>
    <mergeCell ref="D22:F22"/>
    <mergeCell ref="D23:F23"/>
    <mergeCell ref="I18:K18"/>
    <mergeCell ref="I19:K19"/>
    <mergeCell ref="I20:K20"/>
    <mergeCell ref="I21:K21"/>
    <mergeCell ref="G22:H22"/>
    <mergeCell ref="G23:H23"/>
    <mergeCell ref="G19:H19"/>
    <mergeCell ref="G20:H20"/>
    <mergeCell ref="I22:K22"/>
    <mergeCell ref="I23:K23"/>
    <mergeCell ref="K60:O60"/>
    <mergeCell ref="K61:O61"/>
    <mergeCell ref="K62:O62"/>
    <mergeCell ref="K63:O63"/>
    <mergeCell ref="K64:O64"/>
    <mergeCell ref="K65:O65"/>
    <mergeCell ref="A73:N73"/>
    <mergeCell ref="A68:N68"/>
    <mergeCell ref="A69:N69"/>
    <mergeCell ref="A70:N70"/>
    <mergeCell ref="A71:N71"/>
    <mergeCell ref="A72:N72"/>
    <mergeCell ref="E63:I63"/>
    <mergeCell ref="E64:I64"/>
    <mergeCell ref="E65:I65"/>
    <mergeCell ref="E66:I66"/>
    <mergeCell ref="A63:D63"/>
    <mergeCell ref="A64:D64"/>
    <mergeCell ref="A65:D65"/>
    <mergeCell ref="A66:D66"/>
    <mergeCell ref="A60:D60"/>
    <mergeCell ref="A61:D61"/>
    <mergeCell ref="A62:D62"/>
    <mergeCell ref="E60:I60"/>
  </mergeCells>
  <hyperlinks>
    <hyperlink ref="E61:I61" r:id="rId1" display="www.bdew.de" xr:uid="{A0CD6FB9-D1FF-440E-8CFA-F97D0BA8D766}"/>
    <hyperlink ref="E62:I62" r:id="rId2" display="www.bmwk.de" xr:uid="{F6DB7A41-3C10-4591-841D-CB6FCADF44AC}"/>
    <hyperlink ref="E63:I63" r:id="rId3" display="www.umweltbundesamt.de" xr:uid="{BF7B3DE3-6CBD-41B7-AEAA-0EA2E0A38F64}"/>
    <hyperlink ref="E64:I64" r:id="rId4" display="www.prognos.com" xr:uid="{2D4AAF82-1BC1-4B8B-8977-9185C2C5F8F7}"/>
    <hyperlink ref="E65:I65" r:id="rId5" display="www.agora-energiewende.de" xr:uid="{1BAEBC0A-AAF1-4474-ADBF-996B3D658819}"/>
    <hyperlink ref="E66:I66" r:id="rId6" display="www.ise.fraunhofer.de" xr:uid="{2D2C434D-B302-4786-9EC1-BE610CFFE6E4}"/>
  </hyperlinks>
  <pageMargins left="0.7" right="0.7" top="0.78740157499999996" bottom="0.78740157499999996" header="0.3" footer="0.3"/>
  <pageSetup paperSize="9" orientation="landscape" r:id="rId7"/>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C4066-85B9-4480-BCC0-488005B8CE5B}">
  <sheetPr>
    <tabColor rgb="FFC00000"/>
  </sheetPr>
  <dimension ref="A1:N61"/>
  <sheetViews>
    <sheetView workbookViewId="0">
      <selection activeCell="F30" sqref="F30"/>
    </sheetView>
  </sheetViews>
  <sheetFormatPr baseColWidth="10" defaultColWidth="11.42578125" defaultRowHeight="12.75" x14ac:dyDescent="0.2"/>
  <cols>
    <col min="1" max="1" width="44.42578125" style="181" customWidth="1"/>
    <col min="2" max="2" width="39.5703125" style="181" customWidth="1"/>
    <col min="3" max="3" width="8.7109375" style="181" customWidth="1"/>
    <col min="4" max="4" width="14" style="181" customWidth="1"/>
    <col min="5" max="5" width="11.28515625" style="181" customWidth="1"/>
    <col min="6" max="6" width="11.42578125" style="181"/>
    <col min="7" max="7" width="1.5703125" style="181" customWidth="1"/>
    <col min="8" max="16384" width="11.42578125" style="181"/>
  </cols>
  <sheetData>
    <row r="1" spans="1:14" s="161" customFormat="1" ht="18" x14ac:dyDescent="0.25">
      <c r="A1" s="404" t="s">
        <v>296</v>
      </c>
      <c r="B1" s="370"/>
      <c r="C1" s="370"/>
      <c r="D1" s="370"/>
      <c r="E1" s="370"/>
      <c r="F1" s="370"/>
      <c r="G1" s="370"/>
      <c r="H1" s="156"/>
      <c r="I1" s="156"/>
      <c r="J1" s="156"/>
      <c r="K1" s="156"/>
      <c r="L1" s="156"/>
      <c r="M1" s="156"/>
      <c r="N1" s="156"/>
    </row>
    <row r="2" spans="1:14" s="156" customFormat="1" ht="7.5" customHeight="1" x14ac:dyDescent="0.25"/>
    <row r="3" spans="1:14" ht="14.25" customHeight="1" x14ac:dyDescent="0.25">
      <c r="A3" s="184" t="s">
        <v>261</v>
      </c>
      <c r="B3" s="121"/>
      <c r="C3" s="121"/>
    </row>
    <row r="4" spans="1:14" ht="7.5" customHeight="1" thickBot="1" x14ac:dyDescent="0.3">
      <c r="A4" s="121"/>
      <c r="B4" s="121"/>
      <c r="C4" s="121"/>
    </row>
    <row r="5" spans="1:14" ht="14.25" customHeight="1" thickBot="1" x14ac:dyDescent="0.25">
      <c r="A5" s="195" t="s">
        <v>262</v>
      </c>
      <c r="B5" s="196" t="s">
        <v>263</v>
      </c>
      <c r="C5" s="196" t="s">
        <v>264</v>
      </c>
      <c r="D5" s="204"/>
    </row>
    <row r="6" spans="1:14" ht="14.25" customHeight="1" x14ac:dyDescent="0.25">
      <c r="A6" s="202" t="s">
        <v>265</v>
      </c>
      <c r="B6" s="194" t="s">
        <v>266</v>
      </c>
      <c r="C6" s="194" t="s">
        <v>267</v>
      </c>
      <c r="D6" s="203" t="s">
        <v>135</v>
      </c>
    </row>
    <row r="7" spans="1:14" ht="14.25" customHeight="1" x14ac:dyDescent="0.25">
      <c r="A7" s="201" t="s">
        <v>268</v>
      </c>
      <c r="B7" s="192" t="s">
        <v>269</v>
      </c>
      <c r="C7" s="192" t="s">
        <v>300</v>
      </c>
      <c r="D7" s="198" t="s">
        <v>135</v>
      </c>
    </row>
    <row r="8" spans="1:14" ht="14.25" customHeight="1" x14ac:dyDescent="0.25">
      <c r="A8" s="201" t="s">
        <v>270</v>
      </c>
      <c r="B8" s="192" t="s">
        <v>271</v>
      </c>
      <c r="C8" s="192" t="s">
        <v>301</v>
      </c>
      <c r="D8" s="198" t="s">
        <v>135</v>
      </c>
    </row>
    <row r="9" spans="1:14" ht="14.25" customHeight="1" x14ac:dyDescent="0.25">
      <c r="A9" s="201" t="s">
        <v>272</v>
      </c>
      <c r="B9" s="192" t="s">
        <v>273</v>
      </c>
      <c r="C9" s="192" t="s">
        <v>302</v>
      </c>
      <c r="D9" s="198" t="s">
        <v>135</v>
      </c>
    </row>
    <row r="10" spans="1:14" ht="14.25" customHeight="1" x14ac:dyDescent="0.25">
      <c r="A10" s="201" t="s">
        <v>274</v>
      </c>
      <c r="B10" s="192" t="s">
        <v>275</v>
      </c>
      <c r="C10" s="192" t="s">
        <v>267</v>
      </c>
      <c r="D10" s="198" t="s">
        <v>135</v>
      </c>
    </row>
    <row r="11" spans="1:14" ht="14.25" customHeight="1" x14ac:dyDescent="0.25">
      <c r="A11" s="201" t="s">
        <v>276</v>
      </c>
      <c r="B11" s="192" t="s">
        <v>269</v>
      </c>
      <c r="C11" s="192" t="s">
        <v>267</v>
      </c>
      <c r="D11" s="198" t="s">
        <v>135</v>
      </c>
    </row>
    <row r="12" spans="1:14" ht="14.25" customHeight="1" x14ac:dyDescent="0.25">
      <c r="A12" s="201" t="s">
        <v>277</v>
      </c>
      <c r="B12" s="192" t="s">
        <v>278</v>
      </c>
      <c r="C12" s="192" t="s">
        <v>267</v>
      </c>
      <c r="D12" s="198" t="s">
        <v>135</v>
      </c>
    </row>
    <row r="13" spans="1:14" ht="14.25" customHeight="1" x14ac:dyDescent="0.25">
      <c r="A13" s="201" t="s">
        <v>279</v>
      </c>
      <c r="B13" s="192" t="s">
        <v>280</v>
      </c>
      <c r="C13" s="192" t="s">
        <v>300</v>
      </c>
      <c r="D13" s="198" t="s">
        <v>135</v>
      </c>
    </row>
    <row r="14" spans="1:14" ht="14.25" customHeight="1" x14ac:dyDescent="0.25">
      <c r="A14" s="201" t="s">
        <v>281</v>
      </c>
      <c r="B14" s="192" t="s">
        <v>282</v>
      </c>
      <c r="C14" s="192" t="s">
        <v>303</v>
      </c>
      <c r="D14" s="198" t="s">
        <v>135</v>
      </c>
    </row>
    <row r="15" spans="1:14" ht="14.25" customHeight="1" x14ac:dyDescent="0.25">
      <c r="A15" s="201" t="s">
        <v>283</v>
      </c>
      <c r="B15" s="192" t="s">
        <v>273</v>
      </c>
      <c r="C15" s="192" t="s">
        <v>267</v>
      </c>
      <c r="D15" s="198" t="s">
        <v>135</v>
      </c>
    </row>
    <row r="16" spans="1:14" s="171" customFormat="1" ht="14.25" customHeight="1" x14ac:dyDescent="0.2"/>
    <row r="17" spans="1:2" ht="14.25" customHeight="1" x14ac:dyDescent="0.25">
      <c r="A17" s="184" t="s">
        <v>284</v>
      </c>
      <c r="B17" s="121"/>
    </row>
    <row r="18" spans="1:2" ht="7.5" customHeight="1" thickBot="1" x14ac:dyDescent="0.3">
      <c r="A18" s="121"/>
      <c r="B18" s="121"/>
    </row>
    <row r="19" spans="1:2" ht="14.25" customHeight="1" thickBot="1" x14ac:dyDescent="0.25">
      <c r="A19" s="195" t="s">
        <v>262</v>
      </c>
      <c r="B19" s="197" t="s">
        <v>285</v>
      </c>
    </row>
    <row r="20" spans="1:2" ht="14.25" customHeight="1" x14ac:dyDescent="0.2">
      <c r="A20" s="205" t="s">
        <v>286</v>
      </c>
      <c r="B20" s="193" t="s">
        <v>287</v>
      </c>
    </row>
    <row r="21" spans="1:2" ht="14.25" customHeight="1" x14ac:dyDescent="0.2">
      <c r="A21" s="206" t="s">
        <v>288</v>
      </c>
      <c r="B21" s="191" t="s">
        <v>289</v>
      </c>
    </row>
    <row r="22" spans="1:2" ht="14.25" customHeight="1" x14ac:dyDescent="0.2">
      <c r="A22" s="206" t="s">
        <v>290</v>
      </c>
      <c r="B22" s="191" t="s">
        <v>289</v>
      </c>
    </row>
    <row r="23" spans="1:2" ht="14.25" customHeight="1" x14ac:dyDescent="0.2">
      <c r="A23" s="206" t="s">
        <v>291</v>
      </c>
      <c r="B23" s="191" t="s">
        <v>289</v>
      </c>
    </row>
    <row r="24" spans="1:2" ht="7.5" customHeight="1" x14ac:dyDescent="0.2"/>
    <row r="25" spans="1:2" ht="14.25" customHeight="1" x14ac:dyDescent="0.2">
      <c r="A25" s="184" t="s">
        <v>292</v>
      </c>
    </row>
    <row r="26" spans="1:2" ht="7.5" customHeight="1" x14ac:dyDescent="0.2">
      <c r="A26" s="182"/>
    </row>
    <row r="27" spans="1:2" ht="14.25" customHeight="1" x14ac:dyDescent="0.2">
      <c r="A27" s="185" t="s">
        <v>293</v>
      </c>
    </row>
    <row r="28" spans="1:2" ht="7.5" customHeight="1" x14ac:dyDescent="0.2">
      <c r="A28" s="186"/>
    </row>
    <row r="29" spans="1:2" ht="14.25" customHeight="1" x14ac:dyDescent="0.2">
      <c r="A29" s="185" t="s">
        <v>294</v>
      </c>
    </row>
    <row r="30" spans="1:2" ht="7.5" customHeight="1" x14ac:dyDescent="0.2">
      <c r="A30" s="186"/>
    </row>
    <row r="31" spans="1:2" ht="14.25" customHeight="1" x14ac:dyDescent="0.2">
      <c r="A31" s="185" t="s">
        <v>295</v>
      </c>
    </row>
    <row r="32" spans="1:2" ht="7.5" customHeight="1" x14ac:dyDescent="0.2"/>
    <row r="33" ht="14.25" customHeight="1" x14ac:dyDescent="0.2"/>
    <row r="34" ht="14.25" customHeight="1" x14ac:dyDescent="0.2"/>
    <row r="35" ht="14.25" customHeight="1" x14ac:dyDescent="0.2"/>
    <row r="36" ht="14.25" customHeight="1" x14ac:dyDescent="0.2"/>
    <row r="37" ht="14.25" customHeight="1" x14ac:dyDescent="0.2"/>
    <row r="38" ht="14.25" customHeight="1" x14ac:dyDescent="0.2"/>
    <row r="39" ht="14.25" customHeight="1" x14ac:dyDescent="0.2"/>
    <row r="40" ht="14.25" customHeight="1" x14ac:dyDescent="0.2"/>
    <row r="41" ht="14.25" customHeight="1" x14ac:dyDescent="0.2"/>
    <row r="42" ht="14.25" customHeight="1" x14ac:dyDescent="0.2"/>
    <row r="43" ht="14.25" customHeight="1" x14ac:dyDescent="0.2"/>
    <row r="44" ht="14.25" customHeight="1" x14ac:dyDescent="0.2"/>
    <row r="45" ht="14.25" customHeight="1" x14ac:dyDescent="0.2"/>
    <row r="46" ht="14.25" customHeight="1" x14ac:dyDescent="0.2"/>
    <row r="47" ht="14.25" customHeight="1" x14ac:dyDescent="0.2"/>
    <row r="48" ht="14.25" customHeight="1" x14ac:dyDescent="0.2"/>
    <row r="49" ht="14.25" customHeight="1" x14ac:dyDescent="0.2"/>
    <row r="50" ht="14.25" customHeight="1" x14ac:dyDescent="0.2"/>
    <row r="51" ht="14.25" customHeight="1" x14ac:dyDescent="0.2"/>
    <row r="52" ht="14.25" customHeight="1" x14ac:dyDescent="0.2"/>
    <row r="53" ht="14.25" customHeight="1" x14ac:dyDescent="0.2"/>
    <row r="54" ht="14.25" customHeight="1" x14ac:dyDescent="0.2"/>
    <row r="55" ht="14.25" customHeight="1" x14ac:dyDescent="0.2"/>
    <row r="56" ht="14.25" customHeight="1" x14ac:dyDescent="0.2"/>
    <row r="57" ht="14.25" customHeight="1" x14ac:dyDescent="0.2"/>
    <row r="58" ht="14.25" customHeight="1" x14ac:dyDescent="0.2"/>
    <row r="59" ht="14.25" customHeight="1" x14ac:dyDescent="0.2"/>
    <row r="60" ht="14.25" customHeight="1" x14ac:dyDescent="0.2"/>
    <row r="61" ht="14.25" customHeight="1" x14ac:dyDescent="0.2"/>
  </sheetData>
  <sheetProtection password="C667" sheet="1"/>
  <mergeCells count="1">
    <mergeCell ref="A1:G1"/>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C671-9EC5-4631-BDB5-DA6F7BE38B08}">
  <sheetPr>
    <tabColor rgb="FFC00000"/>
  </sheetPr>
  <dimension ref="A1:O70"/>
  <sheetViews>
    <sheetView workbookViewId="0">
      <selection activeCell="F30" sqref="F30"/>
    </sheetView>
  </sheetViews>
  <sheetFormatPr baseColWidth="10" defaultColWidth="11.42578125" defaultRowHeight="12.75" x14ac:dyDescent="0.2"/>
  <cols>
    <col min="1" max="1" width="11.28515625" style="181" customWidth="1"/>
    <col min="2" max="16384" width="11.42578125" style="181"/>
  </cols>
  <sheetData>
    <row r="1" spans="1:11" s="161" customFormat="1" ht="18" x14ac:dyDescent="0.25">
      <c r="A1" s="404" t="s">
        <v>304</v>
      </c>
      <c r="B1" s="370"/>
      <c r="C1" s="370"/>
      <c r="D1" s="370"/>
      <c r="E1" s="370"/>
      <c r="F1" s="370"/>
      <c r="G1" s="370"/>
      <c r="H1" s="370"/>
      <c r="I1" s="370"/>
      <c r="J1" s="370"/>
      <c r="K1" s="370"/>
    </row>
    <row r="2" spans="1:11" s="156" customFormat="1" ht="7.5" customHeight="1" x14ac:dyDescent="0.25"/>
    <row r="3" spans="1:11" ht="14.25" customHeight="1" x14ac:dyDescent="0.25">
      <c r="A3" s="184" t="s">
        <v>251</v>
      </c>
      <c r="B3" s="121"/>
      <c r="C3" s="121"/>
    </row>
    <row r="4" spans="1:11" ht="7.5" customHeight="1" thickBot="1" x14ac:dyDescent="0.3">
      <c r="A4" s="121"/>
      <c r="B4" s="121"/>
      <c r="C4" s="121"/>
    </row>
    <row r="5" spans="1:11" ht="14.25" customHeight="1" thickBot="1" x14ac:dyDescent="0.3">
      <c r="A5" s="379" t="s">
        <v>252</v>
      </c>
      <c r="B5" s="391"/>
      <c r="C5" s="383" t="s">
        <v>253</v>
      </c>
      <c r="D5" s="391"/>
      <c r="E5" s="383" t="s">
        <v>254</v>
      </c>
      <c r="F5" s="391"/>
      <c r="G5" s="392"/>
    </row>
    <row r="6" spans="1:11" ht="14.25" customHeight="1" x14ac:dyDescent="0.25">
      <c r="A6" s="406" t="s">
        <v>255</v>
      </c>
      <c r="B6" s="407"/>
      <c r="C6" s="411">
        <v>0.03</v>
      </c>
      <c r="D6" s="412"/>
      <c r="E6" s="416" t="s">
        <v>256</v>
      </c>
      <c r="F6" s="417"/>
      <c r="G6" s="417"/>
    </row>
    <row r="7" spans="1:11" s="180" customFormat="1" ht="14.25" customHeight="1" x14ac:dyDescent="0.3">
      <c r="A7" s="408" t="s">
        <v>257</v>
      </c>
      <c r="B7" s="409"/>
      <c r="C7" s="413">
        <v>2.5000000000000001E-2</v>
      </c>
      <c r="D7" s="414"/>
      <c r="E7" s="418" t="s">
        <v>258</v>
      </c>
      <c r="F7" s="415"/>
      <c r="G7" s="415"/>
    </row>
    <row r="8" spans="1:11" s="183" customFormat="1" ht="14.25" customHeight="1" x14ac:dyDescent="0.3">
      <c r="A8" s="408" t="s">
        <v>259</v>
      </c>
      <c r="B8" s="409"/>
      <c r="C8" s="413">
        <v>1.4999999999999999E-2</v>
      </c>
      <c r="D8" s="415"/>
      <c r="E8" s="418" t="s">
        <v>260</v>
      </c>
      <c r="F8" s="415"/>
      <c r="G8" s="415"/>
    </row>
    <row r="9" spans="1:11" ht="7.5" customHeight="1" x14ac:dyDescent="0.25">
      <c r="A9" s="121"/>
      <c r="B9" s="121"/>
      <c r="C9" s="121"/>
    </row>
    <row r="10" spans="1:11" ht="14.25" customHeight="1" x14ac:dyDescent="0.25">
      <c r="A10" s="121" t="s">
        <v>297</v>
      </c>
    </row>
    <row r="11" spans="1:11" ht="6.95" customHeight="1" x14ac:dyDescent="0.25">
      <c r="A11" s="121"/>
    </row>
    <row r="12" spans="1:11" ht="14.25" customHeight="1" x14ac:dyDescent="0.3">
      <c r="A12" s="410" t="s">
        <v>402</v>
      </c>
      <c r="B12" s="410"/>
      <c r="C12" s="410"/>
      <c r="D12" s="370"/>
    </row>
    <row r="13" spans="1:11" ht="6.6" customHeight="1" thickBot="1" x14ac:dyDescent="0.25"/>
    <row r="14" spans="1:11" ht="14.25" customHeight="1" thickBot="1" x14ac:dyDescent="0.3">
      <c r="A14" s="379" t="s">
        <v>387</v>
      </c>
      <c r="B14" s="380"/>
      <c r="C14" s="383" t="s">
        <v>257</v>
      </c>
      <c r="D14" s="380"/>
      <c r="E14" s="383" t="s">
        <v>371</v>
      </c>
      <c r="F14" s="380"/>
      <c r="G14" s="384"/>
    </row>
    <row r="15" spans="1:11" ht="14.25" customHeight="1" x14ac:dyDescent="0.25">
      <c r="A15" s="406" t="s">
        <v>372</v>
      </c>
      <c r="B15" s="423"/>
      <c r="C15" s="420" t="s">
        <v>373</v>
      </c>
      <c r="D15" s="417"/>
      <c r="E15" s="420" t="s">
        <v>374</v>
      </c>
      <c r="F15" s="417"/>
      <c r="G15" s="417"/>
    </row>
    <row r="16" spans="1:11" ht="29.1" customHeight="1" x14ac:dyDescent="0.25">
      <c r="A16" s="408" t="s">
        <v>375</v>
      </c>
      <c r="B16" s="422"/>
      <c r="C16" s="419" t="s">
        <v>376</v>
      </c>
      <c r="D16" s="421"/>
      <c r="E16" s="419" t="s">
        <v>377</v>
      </c>
      <c r="F16" s="415"/>
      <c r="G16" s="415"/>
    </row>
    <row r="17" spans="1:9" ht="29.1" customHeight="1" x14ac:dyDescent="0.25">
      <c r="A17" s="408" t="s">
        <v>378</v>
      </c>
      <c r="B17" s="422"/>
      <c r="C17" s="419" t="s">
        <v>379</v>
      </c>
      <c r="D17" s="421"/>
      <c r="E17" s="419" t="s">
        <v>380</v>
      </c>
      <c r="F17" s="421"/>
      <c r="G17" s="421"/>
    </row>
    <row r="18" spans="1:9" ht="15" x14ac:dyDescent="0.25">
      <c r="A18" s="408" t="s">
        <v>381</v>
      </c>
      <c r="B18" s="422"/>
      <c r="C18" s="419" t="s">
        <v>382</v>
      </c>
      <c r="D18" s="415"/>
      <c r="E18" s="419" t="s">
        <v>383</v>
      </c>
      <c r="F18" s="415"/>
      <c r="G18" s="415"/>
    </row>
    <row r="19" spans="1:9" ht="15" x14ac:dyDescent="0.25">
      <c r="A19" s="408" t="s">
        <v>384</v>
      </c>
      <c r="B19" s="422"/>
      <c r="C19" s="419" t="s">
        <v>385</v>
      </c>
      <c r="D19" s="415"/>
      <c r="E19" s="419" t="s">
        <v>386</v>
      </c>
      <c r="F19" s="415"/>
      <c r="G19" s="415"/>
    </row>
    <row r="20" spans="1:9" ht="27.6" customHeight="1" x14ac:dyDescent="0.25">
      <c r="A20" s="429" t="s">
        <v>390</v>
      </c>
      <c r="B20" s="429"/>
      <c r="C20" s="421" t="s">
        <v>388</v>
      </c>
      <c r="D20" s="421"/>
      <c r="E20" s="421" t="s">
        <v>389</v>
      </c>
      <c r="F20" s="421"/>
      <c r="G20" s="421"/>
    </row>
    <row r="21" spans="1:9" ht="7.5" customHeight="1" thickBot="1" x14ac:dyDescent="0.25"/>
    <row r="22" spans="1:9" ht="16.5" customHeight="1" thickBot="1" x14ac:dyDescent="0.35">
      <c r="A22" s="424" t="s">
        <v>340</v>
      </c>
      <c r="B22" s="425"/>
      <c r="C22" s="425"/>
      <c r="D22" s="426"/>
      <c r="E22" s="427" t="s">
        <v>391</v>
      </c>
      <c r="F22" s="425"/>
      <c r="G22" s="425"/>
      <c r="H22" s="425"/>
      <c r="I22" s="428"/>
    </row>
    <row r="23" spans="1:9" ht="15" x14ac:dyDescent="0.25">
      <c r="A23" s="382" t="s">
        <v>392</v>
      </c>
      <c r="B23" s="382"/>
      <c r="C23" s="382"/>
      <c r="D23" s="382"/>
      <c r="E23" s="431" t="s">
        <v>393</v>
      </c>
      <c r="F23" s="431"/>
      <c r="G23" s="431"/>
      <c r="H23" s="431"/>
      <c r="I23" s="431"/>
    </row>
    <row r="24" spans="1:9" ht="15" x14ac:dyDescent="0.25">
      <c r="A24" s="378" t="s">
        <v>394</v>
      </c>
      <c r="B24" s="378"/>
      <c r="C24" s="378"/>
      <c r="D24" s="378"/>
      <c r="E24" s="430" t="s">
        <v>395</v>
      </c>
      <c r="F24" s="430"/>
      <c r="G24" s="430"/>
      <c r="H24" s="430"/>
      <c r="I24" s="430"/>
    </row>
    <row r="25" spans="1:9" ht="15" x14ac:dyDescent="0.25">
      <c r="A25" s="378" t="s">
        <v>401</v>
      </c>
      <c r="B25" s="378"/>
      <c r="C25" s="378"/>
      <c r="D25" s="378"/>
      <c r="E25" s="430" t="s">
        <v>396</v>
      </c>
      <c r="F25" s="430"/>
      <c r="G25" s="430"/>
      <c r="H25" s="430"/>
      <c r="I25" s="430"/>
    </row>
    <row r="26" spans="1:9" ht="15" x14ac:dyDescent="0.25">
      <c r="A26" s="378" t="s">
        <v>397</v>
      </c>
      <c r="B26" s="378"/>
      <c r="C26" s="378"/>
      <c r="D26" s="378"/>
      <c r="E26" s="430" t="s">
        <v>398</v>
      </c>
      <c r="F26" s="430"/>
      <c r="G26" s="430"/>
      <c r="H26" s="430"/>
      <c r="I26" s="430"/>
    </row>
    <row r="27" spans="1:9" ht="15" x14ac:dyDescent="0.25">
      <c r="A27" s="378" t="s">
        <v>399</v>
      </c>
      <c r="B27" s="378"/>
      <c r="C27" s="378"/>
      <c r="D27" s="378"/>
      <c r="E27" s="430" t="s">
        <v>400</v>
      </c>
      <c r="F27" s="430"/>
      <c r="G27" s="430"/>
      <c r="H27" s="430"/>
      <c r="I27" s="430"/>
    </row>
    <row r="28" spans="1:9" ht="15" x14ac:dyDescent="0.25">
      <c r="A28" s="199"/>
      <c r="B28" s="199"/>
      <c r="C28" s="199"/>
      <c r="D28" s="199"/>
      <c r="E28" s="200"/>
      <c r="F28" s="200"/>
      <c r="G28" s="200"/>
      <c r="H28" s="200"/>
      <c r="I28" s="200"/>
    </row>
    <row r="29" spans="1:9" ht="15" x14ac:dyDescent="0.25">
      <c r="A29" s="199"/>
      <c r="B29" s="199"/>
      <c r="C29" s="199"/>
      <c r="D29" s="199"/>
      <c r="E29" s="200"/>
      <c r="F29" s="200"/>
      <c r="G29" s="200"/>
      <c r="H29" s="200"/>
      <c r="I29" s="200"/>
    </row>
    <row r="30" spans="1:9" ht="15" x14ac:dyDescent="0.25">
      <c r="A30" s="199"/>
      <c r="B30" s="199"/>
      <c r="C30" s="199"/>
      <c r="D30" s="199"/>
      <c r="E30" s="200"/>
      <c r="F30" s="200"/>
      <c r="G30" s="200"/>
      <c r="H30" s="200"/>
      <c r="I30" s="200"/>
    </row>
    <row r="31" spans="1:9" ht="15" x14ac:dyDescent="0.25">
      <c r="A31" s="199"/>
      <c r="B31" s="199"/>
      <c r="C31" s="199"/>
      <c r="D31" s="199"/>
      <c r="E31" s="200"/>
      <c r="F31" s="200"/>
      <c r="G31" s="200"/>
      <c r="H31" s="200"/>
      <c r="I31" s="200"/>
    </row>
    <row r="32" spans="1:9" ht="15" x14ac:dyDescent="0.25">
      <c r="A32" s="199"/>
      <c r="B32" s="199"/>
      <c r="C32" s="199"/>
      <c r="D32" s="199"/>
      <c r="E32" s="200"/>
      <c r="F32" s="200"/>
      <c r="G32" s="200"/>
      <c r="H32" s="200"/>
      <c r="I32" s="200"/>
    </row>
    <row r="33" spans="1:15" ht="15" x14ac:dyDescent="0.25">
      <c r="A33" s="199"/>
      <c r="B33" s="199"/>
      <c r="C33" s="199"/>
      <c r="D33" s="199"/>
      <c r="E33" s="200"/>
      <c r="F33" s="200"/>
      <c r="G33" s="200"/>
      <c r="H33" s="200"/>
      <c r="I33" s="200"/>
    </row>
    <row r="34" spans="1:15" s="161" customFormat="1" ht="18" x14ac:dyDescent="0.25">
      <c r="A34" s="404" t="s">
        <v>304</v>
      </c>
      <c r="B34" s="370"/>
      <c r="C34" s="370"/>
      <c r="D34" s="370"/>
      <c r="E34" s="370"/>
      <c r="F34" s="370"/>
      <c r="G34" s="370"/>
      <c r="H34" s="370"/>
      <c r="I34" s="370"/>
      <c r="J34" s="370"/>
      <c r="K34" s="370"/>
    </row>
    <row r="35" spans="1:15" ht="6" customHeight="1" x14ac:dyDescent="0.2"/>
    <row r="36" spans="1:15" ht="15.6" customHeight="1" x14ac:dyDescent="0.3">
      <c r="A36" s="410" t="s">
        <v>403</v>
      </c>
      <c r="B36" s="370"/>
      <c r="C36" s="370"/>
      <c r="D36" s="370"/>
    </row>
    <row r="37" spans="1:15" ht="4.5" customHeight="1" x14ac:dyDescent="0.2"/>
    <row r="38" spans="1:15" ht="15" x14ac:dyDescent="0.25">
      <c r="A38" s="434" t="s">
        <v>404</v>
      </c>
      <c r="B38" s="434"/>
      <c r="C38" s="434" t="s">
        <v>405</v>
      </c>
      <c r="D38" s="434"/>
      <c r="E38" s="434"/>
      <c r="F38" s="434"/>
      <c r="G38" s="434"/>
      <c r="H38" s="434"/>
      <c r="I38" s="434"/>
    </row>
    <row r="39" spans="1:15" ht="15" x14ac:dyDescent="0.25">
      <c r="A39" s="378" t="s">
        <v>406</v>
      </c>
      <c r="B39" s="378"/>
      <c r="C39" s="430" t="s">
        <v>407</v>
      </c>
      <c r="D39" s="430"/>
      <c r="E39" s="430"/>
      <c r="F39" s="430"/>
      <c r="G39" s="430"/>
      <c r="H39" s="430"/>
      <c r="I39" s="430"/>
    </row>
    <row r="40" spans="1:15" ht="15" x14ac:dyDescent="0.25">
      <c r="A40" s="378" t="s">
        <v>408</v>
      </c>
      <c r="B40" s="378"/>
      <c r="C40" s="430" t="s">
        <v>409</v>
      </c>
      <c r="D40" s="430"/>
      <c r="E40" s="430"/>
      <c r="F40" s="430"/>
      <c r="G40" s="430"/>
      <c r="H40" s="430"/>
      <c r="I40" s="430"/>
    </row>
    <row r="41" spans="1:15" ht="15" x14ac:dyDescent="0.25">
      <c r="A41" s="378" t="s">
        <v>410</v>
      </c>
      <c r="B41" s="378"/>
      <c r="C41" s="430" t="s">
        <v>411</v>
      </c>
      <c r="D41" s="430"/>
      <c r="E41" s="430"/>
      <c r="F41" s="430"/>
      <c r="G41" s="430"/>
      <c r="H41" s="430"/>
      <c r="I41" s="430"/>
    </row>
    <row r="42" spans="1:15" ht="15" x14ac:dyDescent="0.25">
      <c r="A42" s="378" t="s">
        <v>412</v>
      </c>
      <c r="B42" s="378"/>
      <c r="C42" s="430" t="s">
        <v>413</v>
      </c>
      <c r="D42" s="430"/>
      <c r="E42" s="430"/>
      <c r="F42" s="430"/>
      <c r="G42" s="430"/>
      <c r="H42" s="430"/>
      <c r="I42" s="430"/>
    </row>
    <row r="43" spans="1:15" ht="15" x14ac:dyDescent="0.25">
      <c r="A43" s="378" t="s">
        <v>414</v>
      </c>
      <c r="B43" s="378"/>
      <c r="C43" s="430" t="s">
        <v>415</v>
      </c>
      <c r="D43" s="430"/>
      <c r="E43" s="430"/>
      <c r="F43" s="430"/>
      <c r="G43" s="430"/>
      <c r="H43" s="430"/>
      <c r="I43" s="430"/>
    </row>
    <row r="44" spans="1:15" ht="6.95" customHeight="1" x14ac:dyDescent="0.2"/>
    <row r="45" spans="1:15" ht="15.95" customHeight="1" x14ac:dyDescent="0.3">
      <c r="A45" s="410" t="s">
        <v>416</v>
      </c>
      <c r="B45" s="410"/>
      <c r="C45" s="410"/>
      <c r="D45" s="410"/>
      <c r="E45" s="410"/>
      <c r="F45" s="410"/>
    </row>
    <row r="46" spans="1:15" ht="6.95" customHeight="1" thickBot="1" x14ac:dyDescent="0.25"/>
    <row r="47" spans="1:15" ht="15.75" thickBot="1" x14ac:dyDescent="0.3">
      <c r="A47" s="432" t="s">
        <v>340</v>
      </c>
      <c r="B47" s="433"/>
      <c r="C47" s="433"/>
      <c r="D47" s="433"/>
      <c r="E47" s="433" t="s">
        <v>417</v>
      </c>
      <c r="F47" s="433"/>
      <c r="G47" s="433"/>
      <c r="H47" s="433"/>
      <c r="I47" s="433" t="s">
        <v>418</v>
      </c>
      <c r="J47" s="433"/>
      <c r="K47" s="438"/>
    </row>
    <row r="48" spans="1:15" ht="15" x14ac:dyDescent="0.25">
      <c r="A48" s="382" t="s">
        <v>419</v>
      </c>
      <c r="B48" s="382"/>
      <c r="C48" s="382"/>
      <c r="D48" s="382"/>
      <c r="E48" s="431" t="s">
        <v>420</v>
      </c>
      <c r="F48" s="400"/>
      <c r="G48" s="400"/>
      <c r="H48" s="400"/>
      <c r="I48" s="389" t="s">
        <v>575</v>
      </c>
      <c r="J48" s="389"/>
      <c r="K48" s="389"/>
      <c r="M48" s="405"/>
      <c r="N48" s="368"/>
      <c r="O48" s="368"/>
    </row>
    <row r="49" spans="1:15" ht="15" x14ac:dyDescent="0.25">
      <c r="A49" s="378" t="s">
        <v>421</v>
      </c>
      <c r="B49" s="378"/>
      <c r="C49" s="378"/>
      <c r="D49" s="378"/>
      <c r="E49" s="430" t="s">
        <v>422</v>
      </c>
      <c r="F49" s="402"/>
      <c r="G49" s="402"/>
      <c r="H49" s="402"/>
      <c r="I49" s="439" t="s">
        <v>580</v>
      </c>
      <c r="J49" s="440"/>
      <c r="K49" s="441"/>
      <c r="M49" s="405"/>
      <c r="N49" s="368"/>
      <c r="O49" s="368"/>
    </row>
    <row r="50" spans="1:15" ht="15" x14ac:dyDescent="0.25">
      <c r="A50" s="378" t="s">
        <v>430</v>
      </c>
      <c r="B50" s="378"/>
      <c r="C50" s="378"/>
      <c r="D50" s="378"/>
      <c r="E50" s="430" t="s">
        <v>423</v>
      </c>
      <c r="F50" s="402"/>
      <c r="G50" s="402"/>
      <c r="H50" s="402"/>
      <c r="I50" s="439" t="s">
        <v>580</v>
      </c>
      <c r="J50" s="440"/>
      <c r="K50" s="441"/>
      <c r="M50" s="405"/>
      <c r="N50" s="368"/>
      <c r="O50" s="368"/>
    </row>
    <row r="51" spans="1:15" ht="15" x14ac:dyDescent="0.25">
      <c r="A51" s="378" t="s">
        <v>424</v>
      </c>
      <c r="B51" s="378"/>
      <c r="C51" s="378"/>
      <c r="D51" s="378"/>
      <c r="E51" s="430" t="s">
        <v>425</v>
      </c>
      <c r="F51" s="402"/>
      <c r="G51" s="402"/>
      <c r="H51" s="402"/>
      <c r="I51" s="376" t="s">
        <v>576</v>
      </c>
      <c r="J51" s="376"/>
      <c r="K51" s="376"/>
      <c r="M51" s="405"/>
      <c r="N51" s="368"/>
      <c r="O51" s="368"/>
    </row>
    <row r="52" spans="1:15" ht="15" x14ac:dyDescent="0.25">
      <c r="A52" s="378" t="s">
        <v>426</v>
      </c>
      <c r="B52" s="378"/>
      <c r="C52" s="378"/>
      <c r="D52" s="378"/>
      <c r="E52" s="430" t="s">
        <v>427</v>
      </c>
      <c r="F52" s="402"/>
      <c r="G52" s="402"/>
      <c r="H52" s="402"/>
      <c r="I52" s="376" t="s">
        <v>577</v>
      </c>
      <c r="J52" s="376"/>
      <c r="K52" s="376"/>
      <c r="M52" s="405"/>
      <c r="N52" s="368"/>
      <c r="O52" s="368"/>
    </row>
    <row r="53" spans="1:15" ht="15" x14ac:dyDescent="0.25">
      <c r="A53" s="378" t="s">
        <v>428</v>
      </c>
      <c r="B53" s="378"/>
      <c r="C53" s="378"/>
      <c r="D53" s="378"/>
      <c r="E53" s="430" t="s">
        <v>429</v>
      </c>
      <c r="F53" s="402"/>
      <c r="G53" s="402"/>
      <c r="H53" s="402"/>
      <c r="I53" s="435" t="s">
        <v>578</v>
      </c>
      <c r="J53" s="436"/>
      <c r="K53" s="437"/>
      <c r="M53" s="405"/>
      <c r="N53" s="368"/>
      <c r="O53" s="368"/>
    </row>
    <row r="54" spans="1:15" ht="6" customHeight="1" x14ac:dyDescent="0.25">
      <c r="A54" s="121"/>
      <c r="B54" s="121"/>
      <c r="C54" s="121"/>
      <c r="D54" s="121"/>
      <c r="E54" s="121"/>
      <c r="F54" s="121"/>
      <c r="G54" s="121"/>
      <c r="H54" s="121"/>
      <c r="I54" s="121"/>
      <c r="J54" s="121"/>
      <c r="M54" s="331"/>
      <c r="N54" s="331"/>
      <c r="O54" s="331"/>
    </row>
    <row r="55" spans="1:15" ht="17.100000000000001" customHeight="1" x14ac:dyDescent="0.3">
      <c r="A55" s="410" t="s">
        <v>431</v>
      </c>
      <c r="B55" s="370"/>
      <c r="C55" s="370"/>
      <c r="D55" s="370"/>
      <c r="M55" s="331"/>
      <c r="N55" s="331"/>
      <c r="O55" s="331"/>
    </row>
    <row r="56" spans="1:15" ht="6" customHeight="1" thickBot="1" x14ac:dyDescent="0.25"/>
    <row r="57" spans="1:15" ht="15.75" thickBot="1" x14ac:dyDescent="0.3">
      <c r="A57" s="432" t="s">
        <v>432</v>
      </c>
      <c r="B57" s="433"/>
      <c r="C57" s="433" t="s">
        <v>405</v>
      </c>
      <c r="D57" s="433"/>
      <c r="E57" s="433"/>
      <c r="F57" s="433"/>
      <c r="G57" s="433"/>
      <c r="H57" s="433"/>
      <c r="I57" s="433"/>
      <c r="J57" s="433"/>
      <c r="K57" s="384"/>
    </row>
    <row r="58" spans="1:15" ht="15" x14ac:dyDescent="0.25">
      <c r="A58" s="382" t="s">
        <v>433</v>
      </c>
      <c r="B58" s="382"/>
      <c r="C58" s="431" t="s">
        <v>434</v>
      </c>
      <c r="D58" s="431"/>
      <c r="E58" s="431"/>
      <c r="F58" s="431"/>
      <c r="G58" s="431"/>
      <c r="H58" s="431"/>
      <c r="I58" s="431"/>
      <c r="J58" s="431"/>
      <c r="K58" s="400"/>
    </row>
    <row r="59" spans="1:15" ht="15" x14ac:dyDescent="0.25">
      <c r="A59" s="378" t="s">
        <v>435</v>
      </c>
      <c r="B59" s="378"/>
      <c r="C59" s="430" t="s">
        <v>436</v>
      </c>
      <c r="D59" s="430"/>
      <c r="E59" s="430"/>
      <c r="F59" s="430"/>
      <c r="G59" s="430"/>
      <c r="H59" s="430"/>
      <c r="I59" s="430"/>
      <c r="J59" s="430"/>
      <c r="K59" s="402"/>
    </row>
    <row r="60" spans="1:15" ht="15" x14ac:dyDescent="0.25">
      <c r="A60" s="378" t="s">
        <v>437</v>
      </c>
      <c r="B60" s="378"/>
      <c r="C60" s="430" t="s">
        <v>438</v>
      </c>
      <c r="D60" s="430"/>
      <c r="E60" s="430"/>
      <c r="F60" s="430"/>
      <c r="G60" s="430"/>
      <c r="H60" s="430"/>
      <c r="I60" s="430"/>
      <c r="J60" s="430"/>
      <c r="K60" s="402"/>
    </row>
    <row r="61" spans="1:15" ht="15" x14ac:dyDescent="0.25">
      <c r="A61" s="378" t="s">
        <v>439</v>
      </c>
      <c r="B61" s="378"/>
      <c r="C61" s="430" t="s">
        <v>440</v>
      </c>
      <c r="D61" s="430"/>
      <c r="E61" s="430"/>
      <c r="F61" s="430"/>
      <c r="G61" s="430"/>
      <c r="H61" s="430"/>
      <c r="I61" s="430"/>
      <c r="J61" s="430"/>
      <c r="K61" s="402"/>
    </row>
    <row r="62" spans="1:15" ht="15" x14ac:dyDescent="0.25">
      <c r="A62" s="378" t="s">
        <v>441</v>
      </c>
      <c r="B62" s="378"/>
      <c r="C62" s="430" t="s">
        <v>442</v>
      </c>
      <c r="D62" s="430"/>
      <c r="E62" s="430"/>
      <c r="F62" s="430"/>
      <c r="G62" s="430"/>
      <c r="H62" s="430"/>
      <c r="I62" s="430"/>
      <c r="J62" s="430"/>
      <c r="K62" s="402"/>
    </row>
    <row r="63" spans="1:15" ht="6.95" customHeight="1" x14ac:dyDescent="0.2"/>
    <row r="64" spans="1:15" ht="15" customHeight="1" x14ac:dyDescent="0.3">
      <c r="A64" s="3" t="s">
        <v>443</v>
      </c>
    </row>
    <row r="65" spans="1:14" ht="5.45" customHeight="1" x14ac:dyDescent="0.2"/>
    <row r="66" spans="1:14" ht="15" x14ac:dyDescent="0.25">
      <c r="A66" s="378" t="s">
        <v>444</v>
      </c>
      <c r="B66" s="378"/>
      <c r="C66" s="378"/>
      <c r="D66" s="378"/>
      <c r="E66" s="430" t="s">
        <v>445</v>
      </c>
      <c r="F66" s="402"/>
      <c r="G66" s="402"/>
      <c r="H66" s="402"/>
      <c r="I66" s="402"/>
      <c r="J66" s="376" t="s">
        <v>576</v>
      </c>
      <c r="K66" s="376"/>
      <c r="M66" s="405"/>
      <c r="N66" s="368"/>
    </row>
    <row r="67" spans="1:14" ht="15" x14ac:dyDescent="0.25">
      <c r="A67" s="378" t="s">
        <v>394</v>
      </c>
      <c r="B67" s="378"/>
      <c r="C67" s="378"/>
      <c r="D67" s="378"/>
      <c r="E67" s="430" t="s">
        <v>446</v>
      </c>
      <c r="F67" s="402"/>
      <c r="G67" s="402"/>
      <c r="H67" s="402"/>
      <c r="I67" s="402"/>
      <c r="J67" s="376" t="s">
        <v>579</v>
      </c>
      <c r="K67" s="376"/>
      <c r="M67" s="405"/>
      <c r="N67" s="368"/>
    </row>
    <row r="68" spans="1:14" ht="15" x14ac:dyDescent="0.25">
      <c r="A68" s="378" t="s">
        <v>447</v>
      </c>
      <c r="B68" s="378"/>
      <c r="C68" s="378"/>
      <c r="D68" s="378"/>
      <c r="E68" s="430" t="s">
        <v>448</v>
      </c>
      <c r="F68" s="402"/>
      <c r="G68" s="402"/>
      <c r="H68" s="402"/>
      <c r="I68" s="402"/>
      <c r="J68" s="376" t="s">
        <v>449</v>
      </c>
      <c r="K68" s="376"/>
      <c r="M68" s="405"/>
      <c r="N68" s="368"/>
    </row>
    <row r="69" spans="1:14" ht="15" x14ac:dyDescent="0.25">
      <c r="A69" s="378" t="s">
        <v>452</v>
      </c>
      <c r="B69" s="378"/>
      <c r="C69" s="378"/>
      <c r="D69" s="378"/>
      <c r="E69" s="430" t="s">
        <v>450</v>
      </c>
      <c r="F69" s="402"/>
      <c r="G69" s="402"/>
      <c r="H69" s="402"/>
      <c r="I69" s="402"/>
      <c r="J69" s="430" t="s">
        <v>580</v>
      </c>
      <c r="K69" s="402"/>
      <c r="M69" s="405"/>
      <c r="N69" s="368"/>
    </row>
    <row r="70" spans="1:14" ht="15" x14ac:dyDescent="0.25">
      <c r="A70" s="378" t="s">
        <v>581</v>
      </c>
      <c r="B70" s="378"/>
      <c r="C70" s="378"/>
      <c r="D70" s="378"/>
      <c r="E70" s="430" t="s">
        <v>451</v>
      </c>
      <c r="F70" s="402"/>
      <c r="G70" s="402"/>
      <c r="H70" s="402"/>
      <c r="I70" s="402"/>
      <c r="J70" s="439" t="s">
        <v>580</v>
      </c>
      <c r="K70" s="441"/>
      <c r="M70" s="405"/>
      <c r="N70" s="368"/>
    </row>
  </sheetData>
  <sheetProtection password="C667" sheet="1"/>
  <mergeCells count="122">
    <mergeCell ref="J67:K67"/>
    <mergeCell ref="J68:K68"/>
    <mergeCell ref="J69:K69"/>
    <mergeCell ref="J70:K70"/>
    <mergeCell ref="A67:D67"/>
    <mergeCell ref="A68:D68"/>
    <mergeCell ref="A69:D69"/>
    <mergeCell ref="A70:D70"/>
    <mergeCell ref="E67:I67"/>
    <mergeCell ref="E68:I68"/>
    <mergeCell ref="E69:I69"/>
    <mergeCell ref="E70:I70"/>
    <mergeCell ref="A66:D66"/>
    <mergeCell ref="J66:K66"/>
    <mergeCell ref="A60:B60"/>
    <mergeCell ref="A61:B61"/>
    <mergeCell ref="A62:B62"/>
    <mergeCell ref="C60:K60"/>
    <mergeCell ref="E66:I66"/>
    <mergeCell ref="C61:K61"/>
    <mergeCell ref="C62:K62"/>
    <mergeCell ref="A34:K34"/>
    <mergeCell ref="A55:D55"/>
    <mergeCell ref="A57:B57"/>
    <mergeCell ref="A58:B58"/>
    <mergeCell ref="A59:B59"/>
    <mergeCell ref="I47:K47"/>
    <mergeCell ref="I48:K48"/>
    <mergeCell ref="I49:K49"/>
    <mergeCell ref="I50:K50"/>
    <mergeCell ref="C59:K59"/>
    <mergeCell ref="C58:K58"/>
    <mergeCell ref="C57:K57"/>
    <mergeCell ref="A24:D24"/>
    <mergeCell ref="A25:D25"/>
    <mergeCell ref="A26:D26"/>
    <mergeCell ref="E53:H53"/>
    <mergeCell ref="A45:F45"/>
    <mergeCell ref="A47:D47"/>
    <mergeCell ref="A48:D48"/>
    <mergeCell ref="A36:D36"/>
    <mergeCell ref="A38:B38"/>
    <mergeCell ref="A39:B39"/>
    <mergeCell ref="A40:B40"/>
    <mergeCell ref="C38:I38"/>
    <mergeCell ref="A50:D50"/>
    <mergeCell ref="I51:K51"/>
    <mergeCell ref="I52:K52"/>
    <mergeCell ref="A52:D52"/>
    <mergeCell ref="A53:D53"/>
    <mergeCell ref="E47:H47"/>
    <mergeCell ref="E48:H48"/>
    <mergeCell ref="E49:H49"/>
    <mergeCell ref="E50:H50"/>
    <mergeCell ref="E51:H51"/>
    <mergeCell ref="E52:H52"/>
    <mergeCell ref="I53:K53"/>
    <mergeCell ref="A22:D22"/>
    <mergeCell ref="A19:B19"/>
    <mergeCell ref="E22:I22"/>
    <mergeCell ref="A20:B20"/>
    <mergeCell ref="C20:D20"/>
    <mergeCell ref="E20:G20"/>
    <mergeCell ref="C18:D18"/>
    <mergeCell ref="A51:D51"/>
    <mergeCell ref="A41:B41"/>
    <mergeCell ref="A42:B42"/>
    <mergeCell ref="A43:B43"/>
    <mergeCell ref="C39:I39"/>
    <mergeCell ref="C40:I40"/>
    <mergeCell ref="C41:I41"/>
    <mergeCell ref="C42:I42"/>
    <mergeCell ref="C43:I43"/>
    <mergeCell ref="A49:D49"/>
    <mergeCell ref="A27:D27"/>
    <mergeCell ref="E23:I23"/>
    <mergeCell ref="E24:I24"/>
    <mergeCell ref="E25:I25"/>
    <mergeCell ref="E26:I26"/>
    <mergeCell ref="E27:I27"/>
    <mergeCell ref="A23:D23"/>
    <mergeCell ref="C19:D19"/>
    <mergeCell ref="E14:G14"/>
    <mergeCell ref="E15:G15"/>
    <mergeCell ref="E16:G16"/>
    <mergeCell ref="E19:G19"/>
    <mergeCell ref="C15:D15"/>
    <mergeCell ref="C16:D16"/>
    <mergeCell ref="C17:D17"/>
    <mergeCell ref="A16:B16"/>
    <mergeCell ref="A17:B17"/>
    <mergeCell ref="A18:B18"/>
    <mergeCell ref="A14:B14"/>
    <mergeCell ref="A15:B15"/>
    <mergeCell ref="E17:G17"/>
    <mergeCell ref="E18:G18"/>
    <mergeCell ref="A1:K1"/>
    <mergeCell ref="A5:B5"/>
    <mergeCell ref="A6:B6"/>
    <mergeCell ref="A7:B7"/>
    <mergeCell ref="A8:B8"/>
    <mergeCell ref="C5:D5"/>
    <mergeCell ref="C14:D14"/>
    <mergeCell ref="A12:D12"/>
    <mergeCell ref="C6:D6"/>
    <mergeCell ref="C7:D7"/>
    <mergeCell ref="C8:D8"/>
    <mergeCell ref="E6:G6"/>
    <mergeCell ref="E5:G5"/>
    <mergeCell ref="E7:G7"/>
    <mergeCell ref="E8:G8"/>
    <mergeCell ref="M66:N66"/>
    <mergeCell ref="M67:N67"/>
    <mergeCell ref="M68:N68"/>
    <mergeCell ref="M69:N69"/>
    <mergeCell ref="M70:N70"/>
    <mergeCell ref="M48:O48"/>
    <mergeCell ref="M49:O49"/>
    <mergeCell ref="M50:O50"/>
    <mergeCell ref="M51:O51"/>
    <mergeCell ref="M52:O52"/>
    <mergeCell ref="M53:O53"/>
  </mergeCells>
  <hyperlinks>
    <hyperlink ref="I48:K48" r:id="rId1" display="www.destatis.de" xr:uid="{E83327E1-EBB9-4358-95BD-FC757D7E261D}"/>
    <hyperlink ref="I51:K51" r:id="rId2" display="www.vdma.org" xr:uid="{35F8312B-4319-4A6D-BCFB-D9331F90B40E}"/>
    <hyperlink ref="I52:K52" r:id="rId3" display="www.zvei.org" xr:uid="{3A99102F-83AC-4A53-A6F4-DE99E8C1A76A}"/>
    <hyperlink ref="J66:K66" r:id="rId4" display="www.vdma.org" xr:uid="{1F19DBA9-60B8-4EB5-8582-414A2B192FC1}"/>
    <hyperlink ref="J67:K67" r:id="rId5" display="www.din.de" xr:uid="{9FCF9A34-F97E-4BF4-B313-F58E1CA2498C}"/>
    <hyperlink ref="J68:K68" r:id="rId6" display="gesetze-im-internet.de" xr:uid="{67461EA7-32C5-4B59-9893-54ACB497E856}"/>
  </hyperlinks>
  <pageMargins left="0.7" right="0.7" top="0.78740157499999996" bottom="0.78740157499999996" header="0.3" footer="0.3"/>
  <pageSetup paperSize="9" orientation="landscape" r:id="rId7"/>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934843-1A5B-4E73-AA7A-E44BA7AAF6A5}">
  <sheetPr codeName="Tabelle2">
    <tabColor rgb="FFFFFF00"/>
  </sheetPr>
  <dimension ref="A1:P42"/>
  <sheetViews>
    <sheetView workbookViewId="0">
      <selection activeCell="F30" sqref="F30"/>
    </sheetView>
  </sheetViews>
  <sheetFormatPr baseColWidth="10" defaultColWidth="11.42578125" defaultRowHeight="15" x14ac:dyDescent="0.25"/>
  <cols>
    <col min="1" max="1" width="6.5703125" style="121" customWidth="1"/>
    <col min="2" max="2" width="7.85546875" style="121" customWidth="1"/>
    <col min="3" max="3" width="30.5703125" style="121" customWidth="1"/>
    <col min="4" max="4" width="34.42578125" style="121" customWidth="1"/>
    <col min="5" max="5" width="15.5703125" style="121" customWidth="1"/>
    <col min="6" max="6" width="9.140625" style="121" customWidth="1"/>
    <col min="7" max="7" width="15.5703125" style="121" customWidth="1"/>
    <col min="8" max="8" width="9.140625" style="121" customWidth="1"/>
    <col min="9" max="9" width="15.5703125" style="121" customWidth="1"/>
    <col min="10" max="10" width="9.140625" style="121" customWidth="1"/>
    <col min="11" max="11" width="15.5703125" style="121" customWidth="1"/>
    <col min="12" max="12" width="9.140625" style="121" customWidth="1"/>
    <col min="13" max="13" width="15.5703125" style="121" customWidth="1"/>
    <col min="14" max="14" width="9.140625" style="121" customWidth="1"/>
    <col min="15" max="15" width="15.5703125" style="121" customWidth="1"/>
    <col min="16" max="16" width="9.140625" style="121" customWidth="1"/>
    <col min="17" max="16384" width="11.42578125" style="121"/>
  </cols>
  <sheetData>
    <row r="1" spans="1:16" ht="18.75" x14ac:dyDescent="0.3">
      <c r="A1" s="300"/>
      <c r="B1" s="301" t="s">
        <v>125</v>
      </c>
      <c r="C1" s="300"/>
      <c r="D1" s="300"/>
      <c r="E1" s="300"/>
    </row>
    <row r="2" spans="1:16" x14ac:dyDescent="0.25">
      <c r="E2" s="442" t="s">
        <v>113</v>
      </c>
      <c r="F2" s="442"/>
      <c r="G2" s="442" t="s">
        <v>120</v>
      </c>
      <c r="H2" s="442"/>
      <c r="I2" s="442" t="s">
        <v>121</v>
      </c>
      <c r="J2" s="442"/>
      <c r="K2" s="442" t="s">
        <v>122</v>
      </c>
      <c r="L2" s="442"/>
      <c r="M2" s="442" t="s">
        <v>123</v>
      </c>
      <c r="N2" s="442"/>
      <c r="O2" s="442" t="s">
        <v>126</v>
      </c>
      <c r="P2" s="442"/>
    </row>
    <row r="3" spans="1:16" x14ac:dyDescent="0.25">
      <c r="D3" s="90" t="s">
        <v>114</v>
      </c>
      <c r="E3" s="443" t="s">
        <v>115</v>
      </c>
      <c r="F3" s="443"/>
      <c r="G3" s="443" t="s">
        <v>116</v>
      </c>
      <c r="H3" s="443"/>
      <c r="I3" s="443" t="s">
        <v>117</v>
      </c>
      <c r="J3" s="443"/>
      <c r="K3" s="443" t="s">
        <v>118</v>
      </c>
      <c r="L3" s="443"/>
      <c r="M3" s="443" t="s">
        <v>119</v>
      </c>
      <c r="N3" s="443"/>
      <c r="O3" s="443" t="s">
        <v>127</v>
      </c>
      <c r="P3" s="443"/>
    </row>
    <row r="5" spans="1:16" x14ac:dyDescent="0.25">
      <c r="B5" s="277"/>
      <c r="C5" s="277"/>
      <c r="D5" s="94" t="s">
        <v>601</v>
      </c>
      <c r="E5" s="277"/>
      <c r="F5" s="277"/>
      <c r="G5" s="277"/>
      <c r="H5" s="277"/>
      <c r="I5" s="277"/>
      <c r="J5" s="277"/>
      <c r="K5" s="277"/>
      <c r="L5" s="277"/>
      <c r="M5" s="277"/>
      <c r="N5" s="277"/>
      <c r="O5" s="277"/>
      <c r="P5" s="277"/>
    </row>
    <row r="6" spans="1:16" x14ac:dyDescent="0.25">
      <c r="A6" s="125" t="s">
        <v>606</v>
      </c>
      <c r="C6" s="446" t="s">
        <v>602</v>
      </c>
      <c r="D6" s="447"/>
      <c r="E6" s="356">
        <f>'B-Angaben Bieter'!I46</f>
        <v>87000</v>
      </c>
      <c r="F6" s="87" t="s">
        <v>16</v>
      </c>
      <c r="G6" s="332"/>
      <c r="H6" s="87" t="s">
        <v>16</v>
      </c>
      <c r="I6" s="332"/>
      <c r="J6" s="87" t="s">
        <v>16</v>
      </c>
      <c r="K6" s="332"/>
      <c r="L6" s="87" t="s">
        <v>16</v>
      </c>
      <c r="M6" s="332"/>
      <c r="N6" s="87" t="s">
        <v>16</v>
      </c>
      <c r="O6" s="332"/>
      <c r="P6" s="87" t="s">
        <v>16</v>
      </c>
    </row>
    <row r="7" spans="1:16" x14ac:dyDescent="0.25">
      <c r="D7" s="278"/>
    </row>
    <row r="8" spans="1:16" x14ac:dyDescent="0.25">
      <c r="B8" s="277"/>
      <c r="C8" s="277"/>
      <c r="D8" s="94" t="s">
        <v>128</v>
      </c>
      <c r="E8" s="277"/>
      <c r="F8" s="277"/>
      <c r="G8" s="277"/>
      <c r="H8" s="277"/>
      <c r="I8" s="277"/>
      <c r="J8" s="277"/>
      <c r="K8" s="277"/>
      <c r="L8" s="277"/>
      <c r="M8" s="277"/>
      <c r="N8" s="277"/>
      <c r="O8" s="277"/>
      <c r="P8" s="277"/>
    </row>
    <row r="9" spans="1:16" x14ac:dyDescent="0.25">
      <c r="A9" s="125" t="s">
        <v>182</v>
      </c>
      <c r="D9" s="278" t="s">
        <v>129</v>
      </c>
      <c r="E9" s="357">
        <f>'A-Angaben Planer-AG'!I7</f>
        <v>2025</v>
      </c>
      <c r="F9" s="172"/>
      <c r="G9" s="333"/>
      <c r="H9" s="172"/>
      <c r="I9" s="333"/>
      <c r="J9" s="172"/>
      <c r="K9" s="333"/>
      <c r="L9" s="172"/>
      <c r="M9" s="333"/>
      <c r="N9" s="172"/>
      <c r="O9" s="333"/>
    </row>
    <row r="10" spans="1:16" x14ac:dyDescent="0.25">
      <c r="A10" s="125" t="s">
        <v>183</v>
      </c>
      <c r="D10" s="278" t="s">
        <v>130</v>
      </c>
      <c r="E10" s="357">
        <f>'A-Angaben Planer-AG'!I8</f>
        <v>15</v>
      </c>
      <c r="F10" s="121" t="s">
        <v>135</v>
      </c>
      <c r="G10" s="333"/>
      <c r="H10" s="121" t="s">
        <v>135</v>
      </c>
      <c r="I10" s="333"/>
      <c r="J10" s="121" t="s">
        <v>135</v>
      </c>
      <c r="K10" s="333"/>
      <c r="L10" s="121" t="s">
        <v>135</v>
      </c>
      <c r="M10" s="333"/>
      <c r="N10" s="121" t="s">
        <v>135</v>
      </c>
      <c r="O10" s="333"/>
      <c r="P10" s="121" t="s">
        <v>135</v>
      </c>
    </row>
    <row r="11" spans="1:16" x14ac:dyDescent="0.25">
      <c r="A11" s="125" t="s">
        <v>185</v>
      </c>
      <c r="D11" s="278" t="s">
        <v>131</v>
      </c>
      <c r="E11" s="358">
        <f>'A-Angaben Planer-AG'!I10</f>
        <v>2</v>
      </c>
      <c r="G11" s="334"/>
      <c r="I11" s="334"/>
      <c r="K11" s="334"/>
      <c r="M11" s="334"/>
      <c r="O11" s="334"/>
    </row>
    <row r="12" spans="1:16" x14ac:dyDescent="0.25">
      <c r="D12" s="278"/>
    </row>
    <row r="13" spans="1:16" x14ac:dyDescent="0.25">
      <c r="B13" s="277"/>
      <c r="C13" s="277"/>
      <c r="D13" s="94" t="s">
        <v>132</v>
      </c>
      <c r="E13" s="277"/>
      <c r="F13" s="277"/>
      <c r="G13" s="277"/>
      <c r="H13" s="277"/>
      <c r="I13" s="277"/>
      <c r="J13" s="277"/>
      <c r="K13" s="277"/>
      <c r="L13" s="277"/>
      <c r="M13" s="277"/>
      <c r="N13" s="277"/>
      <c r="O13" s="277"/>
      <c r="P13" s="277"/>
    </row>
    <row r="14" spans="1:16" x14ac:dyDescent="0.25">
      <c r="A14" s="125" t="s">
        <v>222</v>
      </c>
      <c r="D14" s="278" t="s">
        <v>136</v>
      </c>
      <c r="E14" s="359">
        <f>'E-Lebenszykluskosten'!I13</f>
        <v>646.92599999999993</v>
      </c>
      <c r="F14" s="121" t="s">
        <v>22</v>
      </c>
      <c r="G14" s="335"/>
      <c r="H14" s="121" t="s">
        <v>22</v>
      </c>
      <c r="I14" s="335"/>
      <c r="J14" s="121" t="s">
        <v>22</v>
      </c>
      <c r="K14" s="335"/>
      <c r="L14" s="121" t="s">
        <v>22</v>
      </c>
      <c r="M14" s="335"/>
      <c r="N14" s="121" t="s">
        <v>22</v>
      </c>
      <c r="O14" s="335"/>
      <c r="P14" s="121" t="s">
        <v>22</v>
      </c>
    </row>
    <row r="15" spans="1:16" x14ac:dyDescent="0.25">
      <c r="A15" s="125" t="s">
        <v>217</v>
      </c>
      <c r="D15" s="278" t="s">
        <v>138</v>
      </c>
      <c r="E15" s="358">
        <f>'E-Lebenszykluskosten'!I7</f>
        <v>1752</v>
      </c>
      <c r="F15" s="121" t="s">
        <v>137</v>
      </c>
      <c r="G15" s="334"/>
      <c r="H15" s="121" t="s">
        <v>137</v>
      </c>
      <c r="I15" s="334"/>
      <c r="J15" s="121" t="s">
        <v>137</v>
      </c>
      <c r="K15" s="334"/>
      <c r="L15" s="121" t="s">
        <v>137</v>
      </c>
      <c r="M15" s="334"/>
      <c r="N15" s="121" t="s">
        <v>137</v>
      </c>
      <c r="O15" s="334"/>
      <c r="P15" s="121" t="s">
        <v>137</v>
      </c>
    </row>
    <row r="16" spans="1:16" x14ac:dyDescent="0.25">
      <c r="A16" s="125" t="s">
        <v>223</v>
      </c>
      <c r="D16" s="278" t="s">
        <v>133</v>
      </c>
      <c r="E16" s="360">
        <f>'E-Lebenszykluskosten'!I14</f>
        <v>14361.437032301004</v>
      </c>
      <c r="F16" s="87" t="s">
        <v>16</v>
      </c>
      <c r="G16" s="332"/>
      <c r="H16" s="87" t="s">
        <v>16</v>
      </c>
      <c r="I16" s="332"/>
      <c r="J16" s="121" t="s">
        <v>16</v>
      </c>
      <c r="K16" s="332"/>
      <c r="L16" s="87" t="s">
        <v>16</v>
      </c>
      <c r="M16" s="332"/>
      <c r="N16" s="87" t="s">
        <v>16</v>
      </c>
      <c r="O16" s="332"/>
      <c r="P16" s="87" t="s">
        <v>16</v>
      </c>
    </row>
    <row r="17" spans="1:16" x14ac:dyDescent="0.25">
      <c r="D17" s="278"/>
    </row>
    <row r="18" spans="1:16" x14ac:dyDescent="0.25">
      <c r="B18" s="277"/>
      <c r="C18" s="277"/>
      <c r="D18" s="94" t="s">
        <v>134</v>
      </c>
      <c r="E18" s="277"/>
      <c r="F18" s="277"/>
      <c r="G18" s="277"/>
      <c r="H18" s="277"/>
      <c r="I18" s="277"/>
      <c r="J18" s="277"/>
      <c r="K18" s="277"/>
      <c r="L18" s="277"/>
      <c r="M18" s="277"/>
      <c r="N18" s="277"/>
      <c r="O18" s="277"/>
      <c r="P18" s="277"/>
    </row>
    <row r="19" spans="1:16" x14ac:dyDescent="0.25">
      <c r="A19" s="125" t="s">
        <v>530</v>
      </c>
      <c r="B19" s="373" t="s">
        <v>529</v>
      </c>
      <c r="C19" s="361"/>
      <c r="D19" s="448"/>
      <c r="E19" s="356">
        <f>'E-Lebenszykluskosten'!I18</f>
        <v>55806.249228503475</v>
      </c>
      <c r="F19" s="87" t="s">
        <v>16</v>
      </c>
      <c r="G19" s="332"/>
      <c r="H19" s="87" t="s">
        <v>16</v>
      </c>
      <c r="I19" s="332"/>
      <c r="J19" s="87" t="s">
        <v>16</v>
      </c>
      <c r="K19" s="332"/>
      <c r="L19" s="87" t="s">
        <v>16</v>
      </c>
      <c r="M19" s="332"/>
      <c r="N19" s="87" t="s">
        <v>16</v>
      </c>
      <c r="O19" s="332"/>
      <c r="P19" s="87" t="s">
        <v>16</v>
      </c>
    </row>
    <row r="20" spans="1:16" x14ac:dyDescent="0.25">
      <c r="A20" s="125" t="s">
        <v>532</v>
      </c>
      <c r="B20" s="373" t="s">
        <v>545</v>
      </c>
      <c r="C20" s="361"/>
      <c r="D20" s="448"/>
      <c r="E20" s="356">
        <f>'E-Lebenszykluskosten'!I24</f>
        <v>87025.566495143721</v>
      </c>
      <c r="F20" s="87" t="s">
        <v>16</v>
      </c>
      <c r="G20" s="332"/>
      <c r="H20" s="87" t="s">
        <v>16</v>
      </c>
      <c r="I20" s="332"/>
      <c r="J20" s="87" t="s">
        <v>16</v>
      </c>
      <c r="K20" s="332"/>
      <c r="L20" s="87" t="s">
        <v>16</v>
      </c>
      <c r="M20" s="332"/>
      <c r="N20" s="87" t="s">
        <v>16</v>
      </c>
      <c r="O20" s="332"/>
      <c r="P20" s="87" t="s">
        <v>16</v>
      </c>
    </row>
    <row r="21" spans="1:16" ht="15" customHeight="1" x14ac:dyDescent="0.25">
      <c r="A21" s="125" t="s">
        <v>533</v>
      </c>
      <c r="B21" s="373" t="s">
        <v>544</v>
      </c>
      <c r="C21" s="361"/>
      <c r="D21" s="448"/>
      <c r="E21" s="356">
        <f>'E-Lebenszykluskosten'!I26</f>
        <v>69703.973186961928</v>
      </c>
      <c r="F21" s="213" t="s">
        <v>16</v>
      </c>
      <c r="G21" s="332"/>
      <c r="H21" s="213" t="s">
        <v>16</v>
      </c>
      <c r="I21" s="332"/>
      <c r="J21" s="213" t="s">
        <v>16</v>
      </c>
      <c r="K21" s="332"/>
      <c r="L21" s="213" t="s">
        <v>16</v>
      </c>
      <c r="M21" s="332"/>
      <c r="N21" s="213" t="s">
        <v>16</v>
      </c>
      <c r="O21" s="332"/>
      <c r="P21" s="213" t="s">
        <v>16</v>
      </c>
    </row>
    <row r="22" spans="1:16" ht="15" customHeight="1" x14ac:dyDescent="0.25">
      <c r="A22" s="127"/>
      <c r="B22" s="347"/>
      <c r="C22" s="346"/>
      <c r="D22" s="298"/>
      <c r="E22" s="352"/>
      <c r="F22" s="213"/>
      <c r="G22" s="352"/>
      <c r="H22" s="213"/>
      <c r="I22" s="352"/>
      <c r="J22" s="213"/>
      <c r="K22" s="352"/>
      <c r="L22" s="213"/>
      <c r="M22" s="352"/>
      <c r="N22" s="213"/>
      <c r="O22" s="352"/>
      <c r="P22" s="213"/>
    </row>
    <row r="23" spans="1:16" x14ac:dyDescent="0.25">
      <c r="B23" s="277"/>
      <c r="C23" s="277"/>
      <c r="D23" s="94" t="s">
        <v>629</v>
      </c>
      <c r="E23" s="277"/>
      <c r="F23" s="277"/>
      <c r="G23" s="277"/>
      <c r="H23" s="277"/>
      <c r="I23" s="277"/>
      <c r="J23" s="277"/>
      <c r="K23" s="277"/>
      <c r="L23" s="277"/>
      <c r="M23" s="277"/>
      <c r="N23" s="277"/>
      <c r="O23" s="277"/>
      <c r="P23" s="277"/>
    </row>
    <row r="24" spans="1:16" ht="15" customHeight="1" x14ac:dyDescent="0.25">
      <c r="A24" s="125" t="s">
        <v>622</v>
      </c>
      <c r="B24" s="373" t="s">
        <v>619</v>
      </c>
      <c r="C24" s="361"/>
      <c r="D24" s="361"/>
      <c r="E24" s="359">
        <f>Wartung!G29</f>
        <v>110</v>
      </c>
      <c r="F24" s="213" t="s">
        <v>16</v>
      </c>
      <c r="G24" s="332"/>
      <c r="H24" s="213" t="s">
        <v>16</v>
      </c>
      <c r="I24" s="332"/>
      <c r="J24" s="213" t="s">
        <v>16</v>
      </c>
      <c r="K24" s="332"/>
      <c r="L24" s="213" t="s">
        <v>16</v>
      </c>
      <c r="M24" s="332"/>
      <c r="N24" s="213" t="s">
        <v>16</v>
      </c>
      <c r="O24" s="332"/>
      <c r="P24" s="213" t="s">
        <v>16</v>
      </c>
    </row>
    <row r="25" spans="1:16" ht="15" customHeight="1" x14ac:dyDescent="0.25">
      <c r="A25" s="125" t="s">
        <v>623</v>
      </c>
      <c r="B25" s="373" t="s">
        <v>630</v>
      </c>
      <c r="C25" s="361"/>
      <c r="D25" s="361"/>
      <c r="E25" s="359">
        <f>Wartung!G30</f>
        <v>80</v>
      </c>
      <c r="F25" s="213" t="s">
        <v>16</v>
      </c>
      <c r="G25" s="332"/>
      <c r="H25" s="213" t="s">
        <v>16</v>
      </c>
      <c r="I25" s="332"/>
      <c r="J25" s="213" t="s">
        <v>16</v>
      </c>
      <c r="K25" s="332"/>
      <c r="L25" s="213" t="s">
        <v>16</v>
      </c>
      <c r="M25" s="332"/>
      <c r="N25" s="213" t="s">
        <v>16</v>
      </c>
      <c r="O25" s="332"/>
      <c r="P25" s="213" t="s">
        <v>16</v>
      </c>
    </row>
    <row r="26" spans="1:16" ht="15" customHeight="1" x14ac:dyDescent="0.25">
      <c r="A26" s="125" t="s">
        <v>626</v>
      </c>
      <c r="B26" s="373" t="s">
        <v>621</v>
      </c>
      <c r="C26" s="361"/>
      <c r="D26" s="361"/>
      <c r="E26" s="359">
        <f>Wartung!G33</f>
        <v>180</v>
      </c>
      <c r="F26" s="213" t="s">
        <v>16</v>
      </c>
      <c r="G26" s="332"/>
      <c r="H26" s="213" t="s">
        <v>16</v>
      </c>
      <c r="I26" s="332"/>
      <c r="J26" s="213" t="s">
        <v>16</v>
      </c>
      <c r="K26" s="332"/>
      <c r="L26" s="213" t="s">
        <v>16</v>
      </c>
      <c r="M26" s="332"/>
      <c r="N26" s="213" t="s">
        <v>16</v>
      </c>
      <c r="O26" s="332"/>
      <c r="P26" s="213" t="s">
        <v>16</v>
      </c>
    </row>
    <row r="27" spans="1:16" ht="15" customHeight="1" x14ac:dyDescent="0.25">
      <c r="A27" s="125" t="s">
        <v>628</v>
      </c>
      <c r="B27" s="373" t="s">
        <v>627</v>
      </c>
      <c r="C27" s="361"/>
      <c r="D27" s="361"/>
      <c r="E27" s="359">
        <f>Wartung!G34</f>
        <v>120</v>
      </c>
      <c r="F27" s="213" t="s">
        <v>16</v>
      </c>
      <c r="G27" s="332"/>
      <c r="H27" s="213" t="s">
        <v>16</v>
      </c>
      <c r="I27" s="332"/>
      <c r="J27" s="213" t="s">
        <v>16</v>
      </c>
      <c r="K27" s="332"/>
      <c r="L27" s="213" t="s">
        <v>16</v>
      </c>
      <c r="M27" s="332"/>
      <c r="N27" s="213" t="s">
        <v>16</v>
      </c>
      <c r="O27" s="332"/>
      <c r="P27" s="213" t="s">
        <v>16</v>
      </c>
    </row>
    <row r="28" spans="1:16" ht="15" customHeight="1" x14ac:dyDescent="0.25">
      <c r="A28" s="125" t="s">
        <v>624</v>
      </c>
      <c r="B28" s="373" t="s">
        <v>631</v>
      </c>
      <c r="C28" s="361"/>
      <c r="D28" s="361"/>
      <c r="E28" s="359">
        <f>Wartung!K31</f>
        <v>132</v>
      </c>
      <c r="F28" s="213" t="s">
        <v>16</v>
      </c>
      <c r="G28" s="332"/>
      <c r="H28" s="213" t="s">
        <v>16</v>
      </c>
      <c r="I28" s="332"/>
      <c r="J28" s="213" t="s">
        <v>16</v>
      </c>
      <c r="K28" s="332"/>
      <c r="L28" s="213" t="s">
        <v>16</v>
      </c>
      <c r="M28" s="332"/>
      <c r="N28" s="213" t="s">
        <v>16</v>
      </c>
      <c r="O28" s="332"/>
      <c r="P28" s="213" t="s">
        <v>16</v>
      </c>
    </row>
    <row r="29" spans="1:16" ht="15" customHeight="1" x14ac:dyDescent="0.25">
      <c r="A29" s="125" t="s">
        <v>625</v>
      </c>
      <c r="B29" s="373" t="s">
        <v>632</v>
      </c>
      <c r="C29" s="361"/>
      <c r="D29" s="361"/>
      <c r="E29" s="359">
        <f>Wartung!K32</f>
        <v>154</v>
      </c>
      <c r="F29" s="213" t="s">
        <v>16</v>
      </c>
      <c r="G29" s="332"/>
      <c r="H29" s="213" t="s">
        <v>16</v>
      </c>
      <c r="I29" s="332"/>
      <c r="J29" s="213" t="s">
        <v>16</v>
      </c>
      <c r="K29" s="332"/>
      <c r="L29" s="213" t="s">
        <v>16</v>
      </c>
      <c r="M29" s="332"/>
      <c r="N29" s="213" t="s">
        <v>16</v>
      </c>
      <c r="O29" s="332"/>
      <c r="P29" s="213" t="s">
        <v>16</v>
      </c>
    </row>
    <row r="30" spans="1:16" ht="15" customHeight="1" x14ac:dyDescent="0.25">
      <c r="A30" s="127"/>
      <c r="B30" s="373"/>
      <c r="C30" s="361"/>
      <c r="D30" s="361"/>
      <c r="E30" s="299"/>
      <c r="F30" s="279"/>
      <c r="G30" s="299"/>
      <c r="H30" s="279"/>
      <c r="I30" s="299"/>
      <c r="J30" s="279"/>
      <c r="K30" s="299"/>
      <c r="L30" s="279"/>
      <c r="M30" s="299"/>
      <c r="N30" s="279"/>
      <c r="O30" s="299"/>
      <c r="P30" s="279"/>
    </row>
    <row r="31" spans="1:16" ht="15.75" thickBot="1" x14ac:dyDescent="0.3">
      <c r="B31" s="277"/>
      <c r="C31" s="277"/>
      <c r="D31" s="94" t="s">
        <v>384</v>
      </c>
      <c r="E31" s="277"/>
      <c r="F31" s="277"/>
      <c r="G31" s="277"/>
      <c r="H31" s="277"/>
      <c r="I31" s="277"/>
      <c r="J31" s="277"/>
      <c r="K31" s="277"/>
      <c r="L31" s="277"/>
      <c r="M31" s="277"/>
      <c r="N31" s="277"/>
      <c r="O31" s="277"/>
      <c r="P31" s="277"/>
    </row>
    <row r="32" spans="1:16" ht="30" customHeight="1" thickBot="1" x14ac:dyDescent="0.3">
      <c r="B32" s="449" t="s">
        <v>551</v>
      </c>
      <c r="C32" s="449"/>
      <c r="D32" s="450"/>
      <c r="E32" s="291">
        <f>SUM(E6+E16+E19)</f>
        <v>157167.68626080448</v>
      </c>
      <c r="F32" s="292" t="s">
        <v>16</v>
      </c>
      <c r="G32" s="291">
        <f>SUM(G6+G16+G19)</f>
        <v>0</v>
      </c>
      <c r="H32" s="292" t="s">
        <v>16</v>
      </c>
      <c r="I32" s="291">
        <f>SUM(I6+I16+I19)</f>
        <v>0</v>
      </c>
      <c r="J32" s="292" t="s">
        <v>16</v>
      </c>
      <c r="K32" s="291">
        <f>SUM(K6+K16+K19)</f>
        <v>0</v>
      </c>
      <c r="L32" s="292" t="s">
        <v>16</v>
      </c>
      <c r="M32" s="291">
        <f>SUM(M6+M16+M19)</f>
        <v>0</v>
      </c>
      <c r="N32" s="292" t="s">
        <v>16</v>
      </c>
      <c r="O32" s="291">
        <f>SUM(O6+O16+O19)</f>
        <v>0</v>
      </c>
      <c r="P32" s="292" t="s">
        <v>16</v>
      </c>
    </row>
    <row r="33" spans="2:16" ht="15.75" thickBot="1" x14ac:dyDescent="0.3">
      <c r="D33" s="90"/>
      <c r="E33" s="293"/>
      <c r="F33" s="292"/>
      <c r="G33" s="293"/>
      <c r="H33" s="292"/>
      <c r="I33" s="293"/>
      <c r="J33" s="292"/>
      <c r="K33" s="293"/>
      <c r="L33" s="292"/>
      <c r="M33" s="293"/>
      <c r="N33" s="292"/>
      <c r="O33" s="293"/>
      <c r="P33" s="292"/>
    </row>
    <row r="34" spans="2:16" ht="29.1" customHeight="1" thickBot="1" x14ac:dyDescent="0.3">
      <c r="B34" s="451" t="s">
        <v>552</v>
      </c>
      <c r="C34" s="451"/>
      <c r="D34" s="452"/>
      <c r="E34" s="291">
        <f>SUM(E6+E16+E20)</f>
        <v>188387.00352744473</v>
      </c>
      <c r="F34" s="292" t="s">
        <v>16</v>
      </c>
      <c r="G34" s="291">
        <f>SUM(G6+G16+G20)</f>
        <v>0</v>
      </c>
      <c r="H34" s="292" t="s">
        <v>16</v>
      </c>
      <c r="I34" s="291">
        <f>SUM(I6+I16+I20)</f>
        <v>0</v>
      </c>
      <c r="J34" s="292" t="s">
        <v>16</v>
      </c>
      <c r="K34" s="291">
        <f>SUM(K6+K16+K20)</f>
        <v>0</v>
      </c>
      <c r="L34" s="292" t="s">
        <v>16</v>
      </c>
      <c r="M34" s="291">
        <f>SUM(M6+M16+M20)</f>
        <v>0</v>
      </c>
      <c r="N34" s="292" t="s">
        <v>16</v>
      </c>
      <c r="O34" s="291">
        <f>SUM(O6+O16+O20)</f>
        <v>0</v>
      </c>
      <c r="P34" s="292" t="s">
        <v>16</v>
      </c>
    </row>
    <row r="35" spans="2:16" ht="15.75" thickBot="1" x14ac:dyDescent="0.3">
      <c r="E35" s="294"/>
      <c r="F35" s="292"/>
      <c r="G35" s="294"/>
      <c r="H35" s="292"/>
      <c r="I35" s="294"/>
      <c r="J35" s="292"/>
      <c r="K35" s="294"/>
      <c r="L35" s="292"/>
      <c r="M35" s="294"/>
      <c r="N35" s="292"/>
      <c r="O35" s="294"/>
      <c r="P35" s="292"/>
    </row>
    <row r="36" spans="2:16" ht="29.45" customHeight="1" thickBot="1" x14ac:dyDescent="0.3">
      <c r="B36" s="451" t="s">
        <v>599</v>
      </c>
      <c r="C36" s="451"/>
      <c r="D36" s="452"/>
      <c r="E36" s="291">
        <f>SUM(E6+E16+E21)</f>
        <v>171065.41021926294</v>
      </c>
      <c r="F36" s="292" t="s">
        <v>16</v>
      </c>
      <c r="G36" s="291">
        <f>SUM(G6+G16+G21)</f>
        <v>0</v>
      </c>
      <c r="H36" s="292" t="s">
        <v>16</v>
      </c>
      <c r="I36" s="291">
        <f>SUM(I6+I16+I21)</f>
        <v>0</v>
      </c>
      <c r="J36" s="292" t="s">
        <v>16</v>
      </c>
      <c r="K36" s="291">
        <f>SUM(K6+K16+K21)</f>
        <v>0</v>
      </c>
      <c r="L36" s="292" t="s">
        <v>16</v>
      </c>
      <c r="M36" s="291">
        <f>SUM(M6+M16+M21)</f>
        <v>0</v>
      </c>
      <c r="N36" s="292" t="s">
        <v>16</v>
      </c>
      <c r="O36" s="291">
        <f>SUM(O6+O16+O21)</f>
        <v>0</v>
      </c>
      <c r="P36" s="292" t="s">
        <v>16</v>
      </c>
    </row>
    <row r="37" spans="2:16" ht="15.75" thickBot="1" x14ac:dyDescent="0.3"/>
    <row r="38" spans="2:16" x14ac:dyDescent="0.25">
      <c r="B38" s="286" t="s">
        <v>143</v>
      </c>
      <c r="C38" s="287"/>
      <c r="D38" s="287"/>
      <c r="E38" s="287"/>
      <c r="F38" s="287"/>
      <c r="G38" s="287"/>
      <c r="H38" s="287"/>
      <c r="I38" s="287"/>
      <c r="J38" s="287"/>
      <c r="K38" s="287"/>
      <c r="L38" s="287"/>
      <c r="M38" s="287"/>
      <c r="N38" s="287"/>
      <c r="O38" s="296"/>
      <c r="P38" s="288"/>
    </row>
    <row r="39" spans="2:16" x14ac:dyDescent="0.25">
      <c r="B39" s="444" t="s">
        <v>644</v>
      </c>
      <c r="C39" s="445"/>
      <c r="D39" s="445"/>
      <c r="E39" s="445"/>
      <c r="F39" s="445"/>
      <c r="G39" s="445"/>
      <c r="H39" s="445"/>
      <c r="I39" s="445"/>
      <c r="J39" s="445"/>
      <c r="K39" s="445"/>
      <c r="L39" s="445"/>
      <c r="M39" s="445"/>
      <c r="N39" s="445"/>
      <c r="O39" s="295"/>
      <c r="P39" s="289"/>
    </row>
    <row r="40" spans="2:16" x14ac:dyDescent="0.25">
      <c r="B40" s="349" t="s">
        <v>528</v>
      </c>
      <c r="C40" s="348"/>
      <c r="D40" s="348"/>
      <c r="E40" s="348"/>
      <c r="F40" s="348"/>
      <c r="G40" s="348"/>
      <c r="H40" s="348"/>
      <c r="I40" s="348"/>
      <c r="J40" s="348"/>
      <c r="K40" s="348"/>
      <c r="L40" s="348"/>
      <c r="M40" s="348"/>
      <c r="N40" s="348"/>
      <c r="O40" s="295"/>
      <c r="P40" s="289"/>
    </row>
    <row r="41" spans="2:16" x14ac:dyDescent="0.25">
      <c r="B41" s="350" t="s">
        <v>645</v>
      </c>
      <c r="C41" s="295"/>
      <c r="D41" s="295"/>
      <c r="E41" s="295"/>
      <c r="F41" s="295"/>
      <c r="G41" s="295"/>
      <c r="H41" s="295"/>
      <c r="I41" s="295"/>
      <c r="J41" s="295"/>
      <c r="K41" s="295"/>
      <c r="L41" s="295"/>
      <c r="M41" s="295"/>
      <c r="N41" s="295"/>
      <c r="O41" s="295"/>
      <c r="P41" s="289"/>
    </row>
    <row r="42" spans="2:16" ht="15.75" thickBot="1" x14ac:dyDescent="0.3">
      <c r="B42" s="351" t="s">
        <v>646</v>
      </c>
      <c r="C42" s="297"/>
      <c r="D42" s="297"/>
      <c r="E42" s="297"/>
      <c r="F42" s="297"/>
      <c r="G42" s="297"/>
      <c r="H42" s="297"/>
      <c r="I42" s="297"/>
      <c r="J42" s="297"/>
      <c r="K42" s="297"/>
      <c r="L42" s="297"/>
      <c r="M42" s="297"/>
      <c r="N42" s="297"/>
      <c r="O42" s="297"/>
      <c r="P42" s="290"/>
    </row>
  </sheetData>
  <mergeCells count="27">
    <mergeCell ref="B39:N39"/>
    <mergeCell ref="K2:L2"/>
    <mergeCell ref="K3:L3"/>
    <mergeCell ref="M2:N2"/>
    <mergeCell ref="M3:N3"/>
    <mergeCell ref="C6:D6"/>
    <mergeCell ref="B19:D19"/>
    <mergeCell ref="B20:D20"/>
    <mergeCell ref="B21:D21"/>
    <mergeCell ref="B32:D32"/>
    <mergeCell ref="B34:D34"/>
    <mergeCell ref="B36:D36"/>
    <mergeCell ref="B24:D24"/>
    <mergeCell ref="B25:D25"/>
    <mergeCell ref="B29:D29"/>
    <mergeCell ref="B30:D30"/>
    <mergeCell ref="B26:D26"/>
    <mergeCell ref="B27:D27"/>
    <mergeCell ref="B28:D28"/>
    <mergeCell ref="O2:P2"/>
    <mergeCell ref="O3:P3"/>
    <mergeCell ref="E2:F2"/>
    <mergeCell ref="E3:F3"/>
    <mergeCell ref="G2:H2"/>
    <mergeCell ref="G3:H3"/>
    <mergeCell ref="I2:J2"/>
    <mergeCell ref="I3:J3"/>
  </mergeCells>
  <pageMargins left="0.7" right="0.7" top="0.78740157499999996" bottom="0.78740157499999996" header="0.3" footer="0.3"/>
  <pageSetup paperSize="9" orientation="landscape" r:id="rId1"/>
  <ignoredErrors>
    <ignoredError sqref="E6 E9:E11 E14:E16 E19:E21 E24:E29" unlockedFormula="1"/>
  </ignoredError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12</vt:i4>
      </vt:variant>
      <vt:variant>
        <vt:lpstr>Benannte Bereiche</vt:lpstr>
      </vt:variant>
      <vt:variant>
        <vt:i4>5</vt:i4>
      </vt:variant>
    </vt:vector>
  </HeadingPairs>
  <TitlesOfParts>
    <vt:vector size="17" baseType="lpstr">
      <vt:lpstr>Hinweise</vt:lpstr>
      <vt:lpstr>A-Angaben Planer-AG</vt:lpstr>
      <vt:lpstr>B-Angaben Bieter</vt:lpstr>
      <vt:lpstr>E-Lebenszykluskosten</vt:lpstr>
      <vt:lpstr>Diagramm</vt:lpstr>
      <vt:lpstr>Hinweise Energiekosten</vt:lpstr>
      <vt:lpstr>Hinweise Ersatzteile</vt:lpstr>
      <vt:lpstr>Hinweise Wartungskosten</vt:lpstr>
      <vt:lpstr>Lebenszykluskosten Vergleich</vt:lpstr>
      <vt:lpstr>Energieeffiziensberechnung</vt:lpstr>
      <vt:lpstr>Wartung</vt:lpstr>
      <vt:lpstr>Komponenten</vt:lpstr>
      <vt:lpstr>'A-Angaben Planer-AG'!Druckbereich</vt:lpstr>
      <vt:lpstr>'B-Angaben Bieter'!Druckbereich</vt:lpstr>
      <vt:lpstr>Diagramm!Druckbereich</vt:lpstr>
      <vt:lpstr>'E-Lebenszykluskosten'!Druckbereich</vt:lpstr>
      <vt:lpstr>'Lebenszykluskosten Vergleich'!Druckbereich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VwVBU Berechnungshilfe der Lebenszykluskosten für Aufzüge</dc:title>
  <dc:creator>Senatsverwaltung für Mobilität, Verkehr, Klimaschutz und Umwelt Berlin</dc:creator>
  <cp:lastModifiedBy>Schellhardt, Kathrin</cp:lastModifiedBy>
  <cp:lastPrinted>2025-07-22T12:29:23Z</cp:lastPrinted>
  <dcterms:created xsi:type="dcterms:W3CDTF">2022-06-22T06:00:20Z</dcterms:created>
  <dcterms:modified xsi:type="dcterms:W3CDTF">2026-01-05T13:24:54Z</dcterms:modified>
</cp:coreProperties>
</file>